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allcroftfinance.sharepoint.com/sites/HallcroftMarketing/Shared Documents/Cold emailing/"/>
    </mc:Choice>
  </mc:AlternateContent>
  <xr:revisionPtr revIDLastSave="0" documentId="8_{46584882-4B37-3A49-AC21-944B2C54181B}" xr6:coauthVersionLast="47" xr6:coauthVersionMax="47" xr10:uidLastSave="{00000000-0000-0000-0000-000000000000}"/>
  <bookViews>
    <workbookView xWindow="900" yWindow="500" windowWidth="18740" windowHeight="17500" tabRatio="500" activeTab="2" xr2:uid="{00000000-000D-0000-FFFF-FFFF00000000}"/>
  </bookViews>
  <sheets>
    <sheet name="Mezz 70% LtGDV" sheetId="6" state="hidden" r:id="rId1"/>
    <sheet name="(A) Deal Summary" sheetId="11" r:id="rId2"/>
    <sheet name="(A) Appraisal" sheetId="5" r:id="rId3"/>
  </sheets>
  <definedNames>
    <definedName name="_xlnm.Print_Area" localSheetId="2">'(A) Appraisal'!$A$3:$J$85</definedName>
    <definedName name="_xlnm.Print_Area" localSheetId="0">'Mezz 70% LtGDV'!$A$1:$J$83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9" i="5" l="1"/>
  <c r="B44" i="5"/>
  <c r="B48" i="5"/>
  <c r="B47" i="5"/>
  <c r="B46" i="5"/>
  <c r="B45" i="5"/>
  <c r="C39" i="11" l="1"/>
  <c r="C38" i="11"/>
  <c r="C30" i="11"/>
  <c r="C19" i="11"/>
  <c r="D50" i="5" l="1"/>
  <c r="H19" i="5"/>
  <c r="H18" i="5"/>
  <c r="H17" i="5"/>
  <c r="H16" i="5"/>
  <c r="H15" i="5"/>
  <c r="H14" i="5"/>
  <c r="H13" i="5"/>
  <c r="H12" i="5"/>
  <c r="H11" i="5"/>
  <c r="I28" i="5"/>
  <c r="D9" i="5" s="1"/>
  <c r="C62" i="5" s="1"/>
  <c r="C74" i="5"/>
  <c r="C75" i="5"/>
  <c r="C76" i="5" s="1"/>
  <c r="G28" i="5"/>
  <c r="E44" i="5" s="1"/>
  <c r="E82" i="5"/>
  <c r="E81" i="5"/>
  <c r="E80" i="5"/>
  <c r="C31" i="5"/>
  <c r="D54" i="5"/>
  <c r="I45" i="5" s="1"/>
  <c r="C19" i="5"/>
  <c r="C21" i="5"/>
  <c r="H20" i="5"/>
  <c r="H21" i="5"/>
  <c r="H22" i="5"/>
  <c r="H23" i="5"/>
  <c r="H24" i="5"/>
  <c r="H25" i="5"/>
  <c r="H26" i="5"/>
  <c r="H27" i="5"/>
  <c r="C82" i="5"/>
  <c r="C81" i="5"/>
  <c r="C80" i="5"/>
  <c r="I12" i="6"/>
  <c r="I14" i="6"/>
  <c r="D7" i="6"/>
  <c r="C60" i="6"/>
  <c r="H59" i="6"/>
  <c r="C29" i="6"/>
  <c r="D37" i="6"/>
  <c r="I30" i="6"/>
  <c r="C44" i="6"/>
  <c r="C46" i="6"/>
  <c r="D48" i="6"/>
  <c r="C51" i="6"/>
  <c r="D52" i="6"/>
  <c r="E53" i="6"/>
  <c r="C61" i="6"/>
  <c r="I33" i="6"/>
  <c r="I34" i="6"/>
  <c r="D78" i="6"/>
  <c r="G78" i="6"/>
  <c r="I39" i="6"/>
  <c r="D79" i="6"/>
  <c r="G79" i="6"/>
  <c r="I43" i="6"/>
  <c r="I48" i="6"/>
  <c r="D80" i="6"/>
  <c r="G80" i="6"/>
  <c r="G81" i="6"/>
  <c r="C74" i="6"/>
  <c r="C9" i="6"/>
  <c r="C10" i="6"/>
  <c r="C11" i="6"/>
  <c r="D11" i="6"/>
  <c r="E12" i="6"/>
  <c r="C17" i="6"/>
  <c r="C19" i="6"/>
  <c r="D20" i="6"/>
  <c r="E21" i="6"/>
  <c r="E22" i="6"/>
  <c r="E55" i="6"/>
  <c r="H58" i="6"/>
  <c r="H73" i="6"/>
  <c r="H67" i="6"/>
  <c r="I64" i="6"/>
  <c r="I65" i="6"/>
  <c r="H64" i="6"/>
  <c r="H68" i="6"/>
  <c r="H70" i="6"/>
  <c r="H60" i="6"/>
  <c r="H72" i="6"/>
  <c r="C68" i="6"/>
  <c r="C64" i="6"/>
  <c r="E5" i="6"/>
  <c r="C63" i="6"/>
  <c r="C62" i="6"/>
  <c r="H61" i="6"/>
  <c r="I59" i="6"/>
  <c r="C58" i="6"/>
  <c r="C57" i="6"/>
  <c r="G12" i="6"/>
  <c r="E44" i="6"/>
  <c r="H32" i="6"/>
  <c r="H31" i="6"/>
  <c r="H12" i="6"/>
  <c r="H11" i="6"/>
  <c r="H10" i="6"/>
  <c r="H9" i="6"/>
  <c r="H34" i="5"/>
  <c r="C37" i="11" l="1"/>
  <c r="I41" i="5"/>
  <c r="D81" i="5" s="1"/>
  <c r="G81" i="5" s="1"/>
  <c r="C32" i="11"/>
  <c r="E45" i="5"/>
  <c r="H28" i="5"/>
  <c r="D22" i="5"/>
  <c r="E23" i="5" s="1"/>
  <c r="C12" i="5"/>
  <c r="E7" i="5"/>
  <c r="C13" i="5"/>
  <c r="I81" i="5"/>
  <c r="C34" i="11" l="1"/>
  <c r="C11" i="5"/>
  <c r="C38" i="5"/>
  <c r="D39" i="5" s="1"/>
  <c r="C70" i="5"/>
  <c r="C65" i="5"/>
  <c r="C40" i="11" l="1"/>
  <c r="C31" i="11"/>
  <c r="E55" i="5"/>
  <c r="I32" i="5"/>
  <c r="I80" i="5"/>
  <c r="D13" i="5"/>
  <c r="E14" i="5" s="1"/>
  <c r="E24" i="5" s="1"/>
  <c r="C63" i="5" l="1"/>
  <c r="H33" i="5" s="1"/>
  <c r="C33" i="11"/>
  <c r="E57" i="5"/>
  <c r="I35" i="5" l="1"/>
  <c r="C59" i="5"/>
  <c r="C35" i="11"/>
  <c r="I79" i="5"/>
  <c r="I83" i="5" s="1"/>
  <c r="C60" i="5"/>
  <c r="I36" i="5" l="1"/>
  <c r="I37" i="5" s="1"/>
  <c r="C36" i="11"/>
  <c r="D80" i="5" l="1"/>
  <c r="G80" i="5" s="1"/>
  <c r="I50" i="5"/>
  <c r="C64" i="5" s="1"/>
  <c r="C66" i="5" l="1"/>
  <c r="D82" i="5"/>
  <c r="G82" i="5" s="1"/>
  <c r="G83" i="5" s="1"/>
  <c r="C41" i="11" l="1"/>
</calcChain>
</file>

<file path=xl/sharedStrings.xml><?xml version="1.0" encoding="utf-8"?>
<sst xmlns="http://schemas.openxmlformats.org/spreadsheetml/2006/main" count="224" uniqueCount="150">
  <si>
    <t>Project Appraisal</t>
  </si>
  <si>
    <t xml:space="preserve">Name: </t>
  </si>
  <si>
    <t>Total GDV</t>
  </si>
  <si>
    <t>Description of scheme</t>
  </si>
  <si>
    <t>less: Cost of Sales</t>
  </si>
  <si>
    <t xml:space="preserve">Bank Exit Fee </t>
  </si>
  <si>
    <t>Agents</t>
  </si>
  <si>
    <t>Legals</t>
  </si>
  <si>
    <t>Bank Exit Fee (non PRDL)</t>
  </si>
  <si>
    <t>Agents Sales</t>
  </si>
  <si>
    <t>Agents Lettings</t>
  </si>
  <si>
    <t>Legal Sales</t>
  </si>
  <si>
    <t>Legals Lettings</t>
  </si>
  <si>
    <t>Total Net Sales Income</t>
  </si>
  <si>
    <t>Project Costs</t>
  </si>
  <si>
    <t>Tranche A (Land)</t>
  </si>
  <si>
    <t>Land Cost</t>
  </si>
  <si>
    <t>Plus: Planning Gain</t>
  </si>
  <si>
    <t>Cost to Complete Funding Table</t>
  </si>
  <si>
    <t>Total land value</t>
  </si>
  <si>
    <t>Stamp Duty</t>
  </si>
  <si>
    <t>Initial Cost</t>
  </si>
  <si>
    <t>Borrower Upfront Professional Fees &amp; Intro Fee</t>
  </si>
  <si>
    <t>Less: Cash Equity</t>
  </si>
  <si>
    <t>Bank Legals</t>
  </si>
  <si>
    <t>Less: Planning Gain</t>
  </si>
  <si>
    <t>Mezz Fees</t>
  </si>
  <si>
    <t>Total Equity</t>
  </si>
  <si>
    <t>Valuation</t>
  </si>
  <si>
    <t>Tranche A</t>
  </si>
  <si>
    <t>Initial QS Report</t>
  </si>
  <si>
    <t>Bank &amp; Broker Fee</t>
  </si>
  <si>
    <t>Tranche B</t>
  </si>
  <si>
    <t>Tranche B (Construction &amp; Professional)</t>
  </si>
  <si>
    <t>Tranche C</t>
  </si>
  <si>
    <t>Total Facility</t>
  </si>
  <si>
    <t>Tranche C (Finance)</t>
  </si>
  <si>
    <t>Interest</t>
  </si>
  <si>
    <t>Total Cost</t>
  </si>
  <si>
    <t>Profit</t>
  </si>
  <si>
    <t>Return on Cost (RoC)</t>
  </si>
  <si>
    <t>Return on GDV (RoS)</t>
  </si>
  <si>
    <t>Total Equity Req</t>
  </si>
  <si>
    <t>Mezz Possibility</t>
  </si>
  <si>
    <t>Proposed debt funding</t>
  </si>
  <si>
    <t>Difference (client equity)</t>
  </si>
  <si>
    <t>Equity</t>
  </si>
  <si>
    <t>Loan to Cost (including Planning Gain)</t>
  </si>
  <si>
    <t>Loan to GDV</t>
  </si>
  <si>
    <t>Loan to Cost (excluding Planning Gain)</t>
  </si>
  <si>
    <t>Pre-sale Coverage</t>
  </si>
  <si>
    <t>Pre-sales /  lets</t>
  </si>
  <si>
    <t>Debt cover gross</t>
  </si>
  <si>
    <t>Minus Mezz</t>
  </si>
  <si>
    <t>Project Timeline</t>
  </si>
  <si>
    <t xml:space="preserve"> TOTAL </t>
  </si>
  <si>
    <t>Planning</t>
  </si>
  <si>
    <t>months</t>
  </si>
  <si>
    <t>Construction timetable</t>
  </si>
  <si>
    <t>Sale period</t>
  </si>
  <si>
    <t>ROE - excl mezz</t>
  </si>
  <si>
    <t>Total timetable</t>
  </si>
  <si>
    <t>Interest Calculation Checker</t>
  </si>
  <si>
    <t>Months</t>
  </si>
  <si>
    <t>Amount</t>
  </si>
  <si>
    <t>Land</t>
  </si>
  <si>
    <t>Development</t>
  </si>
  <si>
    <t>Total Interest cost</t>
  </si>
  <si>
    <t xml:space="preserve">ROE  </t>
  </si>
  <si>
    <t>Oaklea Warren, Station Road, Newick BN8 4PJ</t>
  </si>
  <si>
    <t>3 new houses plus resale of existing Oaklea Warren</t>
  </si>
  <si>
    <t>Sq Ft</t>
  </si>
  <si>
    <t>£/psf</t>
  </si>
  <si>
    <t>GDV</t>
  </si>
  <si>
    <t>Oaklea Warren</t>
  </si>
  <si>
    <t>Construction cost inc. 6% contingency</t>
  </si>
  <si>
    <t>Residential</t>
  </si>
  <si>
    <t>Commercial</t>
  </si>
  <si>
    <t>Interest (per Shawbrook HoTs)</t>
  </si>
  <si>
    <t>Bank Arrangement &amp; Prof Fees &amp; Broker Fee</t>
  </si>
  <si>
    <t>Professional Fees</t>
  </si>
  <si>
    <t>CIL</t>
  </si>
  <si>
    <t>Mezz Cost (18 mths)</t>
  </si>
  <si>
    <t>Date: 19th Feburary 2018</t>
  </si>
  <si>
    <t>Senior costs</t>
  </si>
  <si>
    <t>Mezz costs</t>
  </si>
  <si>
    <t>Notes - input here</t>
  </si>
  <si>
    <t>Senior LtV</t>
  </si>
  <si>
    <t>Senior Interest Rate</t>
  </si>
  <si>
    <t>Senior Arrangement Fee</t>
  </si>
  <si>
    <t>Senior Exit Fee</t>
  </si>
  <si>
    <t>Senior Loan Land Loan Period (months)</t>
  </si>
  <si>
    <t>Senior Loan Construction Period (months)</t>
  </si>
  <si>
    <t>Senior Loan Marketing Period (months)</t>
  </si>
  <si>
    <t>Profit B4 Fin</t>
  </si>
  <si>
    <t>Bank Commitment Fee / Non Utilisation Fee</t>
  </si>
  <si>
    <t>Senior Loan Planning Period (months)</t>
  </si>
  <si>
    <t>Profit After Fin</t>
  </si>
  <si>
    <t>Mezz Arrangement &amp; Prof Fees (if paid upfront)</t>
  </si>
  <si>
    <t>Construction</t>
  </si>
  <si>
    <t>Contingency</t>
  </si>
  <si>
    <t>CIL/s.106</t>
  </si>
  <si>
    <t>Disclaimer.  This appraisal is for modelling purposes only and Hallcroft Finance accepts no liability for any decisions taken based on the appraisal</t>
  </si>
  <si>
    <t>Refer to Input table at bottom of appraisal</t>
  </si>
  <si>
    <t>Agents at 1% of sales</t>
  </si>
  <si>
    <t>Selling legals</t>
  </si>
  <si>
    <t>LESS: Cost of Sales</t>
  </si>
  <si>
    <t>Bank arrangement fee (inc Hallcroft fee)</t>
  </si>
  <si>
    <t>Tranche C - Finance</t>
  </si>
  <si>
    <t>Tranche B - Construction &amp; Professional</t>
  </si>
  <si>
    <t>Tranche A - Land</t>
  </si>
  <si>
    <t>Accommodation</t>
  </si>
  <si>
    <t>Funding Appraisal</t>
  </si>
  <si>
    <r>
      <rPr>
        <b/>
        <sz val="12"/>
        <rFont val="Helvetica"/>
        <family val="2"/>
      </rPr>
      <t>Date:</t>
    </r>
  </si>
  <si>
    <t>Complete all blue boxes in appraisal</t>
  </si>
  <si>
    <t>Client</t>
  </si>
  <si>
    <t>Borrower</t>
  </si>
  <si>
    <t>Name</t>
  </si>
  <si>
    <t>Company name / SPV</t>
  </si>
  <si>
    <t>Company number</t>
  </si>
  <si>
    <t>Borrower experience</t>
  </si>
  <si>
    <t>Funding required</t>
  </si>
  <si>
    <t>Facility type</t>
  </si>
  <si>
    <t>Use of funds</t>
  </si>
  <si>
    <t>Secuirty address</t>
  </si>
  <si>
    <t>Loan details</t>
  </si>
  <si>
    <t>Purchase price</t>
  </si>
  <si>
    <t>Loan amount</t>
  </si>
  <si>
    <t>Total Purchase costs</t>
  </si>
  <si>
    <t>Total construction costs</t>
  </si>
  <si>
    <t>Profit on cost</t>
  </si>
  <si>
    <t>LTGDV</t>
  </si>
  <si>
    <t>LTC</t>
  </si>
  <si>
    <t>Total transaction costs</t>
  </si>
  <si>
    <t>Secuirty</t>
  </si>
  <si>
    <t>Suggested security</t>
  </si>
  <si>
    <t>Development finance covering 100% of the development costs and a portion of the land purchase</t>
  </si>
  <si>
    <t>All funds will be used for the purpose of delivering the development scheme</t>
  </si>
  <si>
    <t>Term (months)</t>
  </si>
  <si>
    <t>Fixed charge over development site, floating charge over development SPV and directors PG</t>
  </si>
  <si>
    <t>Email</t>
  </si>
  <si>
    <t>Telephone</t>
  </si>
  <si>
    <t>Contact details</t>
  </si>
  <si>
    <t>NEW DEAL SUMMARY</t>
  </si>
  <si>
    <t>NOTE: PRINT TO PDF BEFORE SENDING</t>
  </si>
  <si>
    <t>Professional Fees (inc lender QS)</t>
  </si>
  <si>
    <t>Borrower Legal Fees &amp; Sourcing Fee</t>
  </si>
  <si>
    <t>Day one LTV</t>
  </si>
  <si>
    <t>%</t>
  </si>
  <si>
    <t>Insert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</si>
</sst>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&quot;£&quot;#,##0;\-&quot;£&quot;#,##0"/>
    <numFmt numFmtId="165" formatCode="&quot;£&quot;#,##0;[Red]\-&quot;£&quot;#,##0"/>
    <numFmt numFmtId="166" formatCode="_(* #,##0_);_(* \(#,##0\);_(* &quot;-&quot;??_);_(@_)"/>
    <numFmt numFmtId="167" formatCode="[$-809]dd\ mmmm\ yyyy;@"/>
    <numFmt numFmtId="168" formatCode="&quot;£&quot;#,##0"/>
    <numFmt numFmtId="169" formatCode="&quot;£&quot;#,##0;[Red]&quot;£&quot;#,##0"/>
    <numFmt numFmtId="170" formatCode="&quot;£&quot;#,##0.00"/>
    <numFmt numFmtId="171" formatCode="0.0%"/>
    <numFmt numFmtId="172" formatCode="_-[$£-809]* #,##0.00_-;\-[$£-809]* #,##0.00_-;_-[$£-809]* &quot;-&quot;??_-;_-@_-"/>
    <numFmt numFmtId="173" formatCode="_(&quot;$&quot;* #,##0.00_);_(&quot;$&quot;* \(#,##0.00\);_(&quot;$&quot;* &quot;-&quot;??_);_(@_)"/>
    <numFmt numFmtId="174" formatCode="_-&quot;£&quot;* #,##0_-;\-&quot;£&quot;* #,##0_-;_-&quot;£&quot;* &quot;-&quot;??_-;_-@_-"/>
  </numFmts>
  <fonts count="30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u/>
      <sz val="16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2"/>
      <name val="Helvetica"/>
      <family val="2"/>
    </font>
    <font>
      <b/>
      <sz val="12"/>
      <name val="Helvetica"/>
      <family val="2"/>
    </font>
    <font>
      <i/>
      <sz val="12"/>
      <name val="Helvetica"/>
      <family val="2"/>
    </font>
    <font>
      <b/>
      <u/>
      <sz val="12"/>
      <name val="Helvetica"/>
      <family val="2"/>
    </font>
    <font>
      <u/>
      <sz val="12"/>
      <name val="Helvetica"/>
      <family val="2"/>
    </font>
    <font>
      <sz val="14"/>
      <color rgb="FFFF0000"/>
      <name val="Helvetica"/>
      <family val="2"/>
    </font>
    <font>
      <sz val="14"/>
      <name val="Helvetica"/>
      <family val="2"/>
    </font>
    <font>
      <sz val="8"/>
      <name val="Helvetica"/>
      <family val="2"/>
    </font>
    <font>
      <sz val="10"/>
      <name val="Helvetica"/>
      <family val="2"/>
    </font>
    <font>
      <sz val="16"/>
      <name val="Helvetica"/>
      <family val="2"/>
    </font>
    <font>
      <sz val="9"/>
      <name val="Helvetica"/>
      <family val="2"/>
    </font>
    <font>
      <b/>
      <u/>
      <sz val="9"/>
      <name val="Helvetica"/>
      <family val="2"/>
    </font>
    <font>
      <b/>
      <sz val="9"/>
      <name val="Helvetica"/>
      <family val="2"/>
    </font>
    <font>
      <i/>
      <sz val="9"/>
      <name val="Helvetica"/>
      <family val="2"/>
    </font>
    <font>
      <b/>
      <sz val="10"/>
      <name val="Helvetic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1FB714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FCF305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77">
    <xf numFmtId="0" fontId="0" fillId="0" borderId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31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/>
    <xf numFmtId="0" fontId="3" fillId="2" borderId="4" xfId="0" applyFont="1" applyFill="1" applyBorder="1"/>
    <xf numFmtId="166" fontId="4" fillId="2" borderId="0" xfId="1" applyNumberFormat="1" applyFont="1" applyFill="1" applyBorder="1" applyAlignment="1">
      <alignment horizontal="right"/>
    </xf>
    <xf numFmtId="166" fontId="5" fillId="2" borderId="0" xfId="1" applyNumberFormat="1" applyFont="1" applyFill="1" applyBorder="1"/>
    <xf numFmtId="0" fontId="2" fillId="2" borderId="0" xfId="0" applyFont="1" applyFill="1"/>
    <xf numFmtId="0" fontId="4" fillId="2" borderId="0" xfId="0" applyFont="1" applyFill="1"/>
    <xf numFmtId="167" fontId="5" fillId="2" borderId="0" xfId="0" applyNumberFormat="1" applyFont="1" applyFill="1"/>
    <xf numFmtId="0" fontId="2" fillId="2" borderId="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166" fontId="4" fillId="2" borderId="7" xfId="1" applyNumberFormat="1" applyFont="1" applyFill="1" applyBorder="1"/>
    <xf numFmtId="166" fontId="5" fillId="2" borderId="7" xfId="1" applyNumberFormat="1" applyFont="1" applyFill="1" applyBorder="1"/>
    <xf numFmtId="0" fontId="2" fillId="2" borderId="7" xfId="0" applyFont="1" applyFill="1" applyBorder="1"/>
    <xf numFmtId="0" fontId="4" fillId="2" borderId="7" xfId="0" applyFont="1" applyFill="1" applyBorder="1"/>
    <xf numFmtId="167" fontId="5" fillId="2" borderId="7" xfId="0" applyNumberFormat="1" applyFont="1" applyFill="1" applyBorder="1"/>
    <xf numFmtId="0" fontId="2" fillId="2" borderId="8" xfId="0" applyFont="1" applyFill="1" applyBorder="1"/>
    <xf numFmtId="0" fontId="6" fillId="0" borderId="1" xfId="0" applyFont="1" applyBorder="1"/>
    <xf numFmtId="0" fontId="6" fillId="0" borderId="2" xfId="0" applyFont="1" applyBorder="1"/>
    <xf numFmtId="166" fontId="2" fillId="0" borderId="2" xfId="1" applyNumberFormat="1" applyFont="1" applyFill="1" applyBorder="1"/>
    <xf numFmtId="0" fontId="2" fillId="0" borderId="2" xfId="0" applyFont="1" applyBorder="1"/>
    <xf numFmtId="0" fontId="4" fillId="0" borderId="2" xfId="0" applyFont="1" applyBorder="1"/>
    <xf numFmtId="0" fontId="2" fillId="0" borderId="3" xfId="0" applyFont="1" applyBorder="1"/>
    <xf numFmtId="0" fontId="4" fillId="0" borderId="4" xfId="0" applyFont="1" applyBorder="1"/>
    <xf numFmtId="0" fontId="4" fillId="0" borderId="0" xfId="0" applyFont="1"/>
    <xf numFmtId="166" fontId="2" fillId="0" borderId="0" xfId="1" applyNumberFormat="1" applyFont="1" applyFill="1" applyBorder="1"/>
    <xf numFmtId="168" fontId="2" fillId="0" borderId="9" xfId="0" applyNumberFormat="1" applyFont="1" applyBorder="1"/>
    <xf numFmtId="0" fontId="2" fillId="0" borderId="5" xfId="0" applyFont="1" applyBorder="1"/>
    <xf numFmtId="0" fontId="6" fillId="0" borderId="4" xfId="0" applyFont="1" applyBorder="1"/>
    <xf numFmtId="0" fontId="6" fillId="0" borderId="0" xfId="0" applyFont="1"/>
    <xf numFmtId="0" fontId="2" fillId="3" borderId="0" xfId="0" applyFont="1" applyFill="1"/>
    <xf numFmtId="168" fontId="2" fillId="0" borderId="0" xfId="0" applyNumberFormat="1" applyFont="1"/>
    <xf numFmtId="0" fontId="2" fillId="0" borderId="4" xfId="0" applyFont="1" applyBorder="1"/>
    <xf numFmtId="168" fontId="2" fillId="0" borderId="0" xfId="1" applyNumberFormat="1" applyFont="1" applyFill="1" applyBorder="1"/>
    <xf numFmtId="169" fontId="2" fillId="0" borderId="0" xfId="0" applyNumberFormat="1" applyFont="1"/>
    <xf numFmtId="170" fontId="2" fillId="0" borderId="0" xfId="0" applyNumberFormat="1" applyFont="1"/>
    <xf numFmtId="0" fontId="4" fillId="0" borderId="5" xfId="0" applyFont="1" applyBorder="1"/>
    <xf numFmtId="168" fontId="7" fillId="0" borderId="0" xfId="0" applyNumberFormat="1" applyFont="1"/>
    <xf numFmtId="168" fontId="7" fillId="0" borderId="0" xfId="1" applyNumberFormat="1" applyFont="1" applyFill="1" applyBorder="1"/>
    <xf numFmtId="166" fontId="4" fillId="0" borderId="0" xfId="1" applyNumberFormat="1" applyFont="1" applyFill="1" applyBorder="1"/>
    <xf numFmtId="0" fontId="7" fillId="0" borderId="0" xfId="0" applyFont="1"/>
    <xf numFmtId="0" fontId="7" fillId="0" borderId="5" xfId="0" applyFont="1" applyBorder="1"/>
    <xf numFmtId="0" fontId="7" fillId="0" borderId="4" xfId="0" applyFont="1" applyBorder="1"/>
    <xf numFmtId="166" fontId="7" fillId="0" borderId="0" xfId="1" applyNumberFormat="1" applyFont="1" applyFill="1" applyBorder="1"/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168" fontId="2" fillId="0" borderId="0" xfId="1" applyNumberFormat="1" applyFont="1" applyFill="1" applyBorder="1" applyAlignment="1">
      <alignment wrapText="1"/>
    </xf>
    <xf numFmtId="168" fontId="2" fillId="0" borderId="0" xfId="0" applyNumberFormat="1" applyFont="1" applyAlignment="1">
      <alignment wrapText="1"/>
    </xf>
    <xf numFmtId="0" fontId="2" fillId="0" borderId="5" xfId="0" applyFont="1" applyBorder="1" applyAlignment="1">
      <alignment wrapText="1"/>
    </xf>
    <xf numFmtId="168" fontId="7" fillId="0" borderId="0" xfId="0" applyNumberFormat="1" applyFont="1" applyAlignment="1">
      <alignment wrapText="1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7" fillId="2" borderId="12" xfId="0" applyFont="1" applyFill="1" applyBorder="1"/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Border="1"/>
    <xf numFmtId="168" fontId="2" fillId="0" borderId="14" xfId="0" applyNumberFormat="1" applyFont="1" applyBorder="1"/>
    <xf numFmtId="164" fontId="2" fillId="0" borderId="0" xfId="0" applyNumberFormat="1" applyFont="1"/>
    <xf numFmtId="164" fontId="7" fillId="0" borderId="14" xfId="0" applyNumberFormat="1" applyFont="1" applyBorder="1"/>
    <xf numFmtId="0" fontId="2" fillId="4" borderId="13" xfId="0" applyFont="1" applyFill="1" applyBorder="1"/>
    <xf numFmtId="0" fontId="2" fillId="4" borderId="0" xfId="0" applyFont="1" applyFill="1"/>
    <xf numFmtId="168" fontId="2" fillId="4" borderId="14" xfId="0" applyNumberFormat="1" applyFont="1" applyFill="1" applyBorder="1"/>
    <xf numFmtId="168" fontId="8" fillId="0" borderId="0" xfId="1" applyNumberFormat="1" applyFont="1" applyFill="1" applyBorder="1" applyAlignment="1">
      <alignment wrapText="1"/>
    </xf>
    <xf numFmtId="168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13" xfId="0" applyFont="1" applyBorder="1"/>
    <xf numFmtId="0" fontId="8" fillId="0" borderId="0" xfId="0" applyFont="1"/>
    <xf numFmtId="9" fontId="8" fillId="0" borderId="14" xfId="3" applyFont="1" applyFill="1" applyBorder="1"/>
    <xf numFmtId="0" fontId="8" fillId="0" borderId="5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0" xfId="0" applyFont="1" applyAlignment="1">
      <alignment horizontal="right" wrapText="1"/>
    </xf>
    <xf numFmtId="168" fontId="9" fillId="0" borderId="0" xfId="1" applyNumberFormat="1" applyFont="1" applyFill="1" applyBorder="1" applyAlignment="1">
      <alignment horizontal="right" wrapText="1"/>
    </xf>
    <xf numFmtId="168" fontId="2" fillId="4" borderId="0" xfId="1" applyNumberFormat="1" applyFont="1" applyFill="1" applyBorder="1"/>
    <xf numFmtId="0" fontId="2" fillId="0" borderId="14" xfId="0" applyFont="1" applyBorder="1"/>
    <xf numFmtId="0" fontId="2" fillId="0" borderId="4" xfId="0" applyFont="1" applyBorder="1" applyAlignment="1">
      <alignment horizontal="right" wrapText="1"/>
    </xf>
    <xf numFmtId="166" fontId="2" fillId="0" borderId="0" xfId="1" applyNumberFormat="1" applyFont="1" applyFill="1"/>
    <xf numFmtId="170" fontId="4" fillId="0" borderId="0" xfId="1" applyNumberFormat="1" applyFont="1" applyFill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9" fontId="4" fillId="0" borderId="0" xfId="3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168" fontId="2" fillId="0" borderId="17" xfId="0" applyNumberFormat="1" applyFont="1" applyBorder="1"/>
    <xf numFmtId="168" fontId="4" fillId="0" borderId="0" xfId="1" applyNumberFormat="1" applyFont="1" applyFill="1" applyBorder="1"/>
    <xf numFmtId="168" fontId="7" fillId="4" borderId="0" xfId="0" applyNumberFormat="1" applyFont="1" applyFill="1"/>
    <xf numFmtId="171" fontId="4" fillId="0" borderId="0" xfId="3" applyNumberFormat="1" applyFont="1" applyFill="1" applyBorder="1"/>
    <xf numFmtId="0" fontId="4" fillId="5" borderId="1" xfId="0" applyFont="1" applyFill="1" applyBorder="1"/>
    <xf numFmtId="172" fontId="4" fillId="5" borderId="2" xfId="0" applyNumberFormat="1" applyFont="1" applyFill="1" applyBorder="1"/>
    <xf numFmtId="0" fontId="4" fillId="5" borderId="3" xfId="0" applyFont="1" applyFill="1" applyBorder="1"/>
    <xf numFmtId="172" fontId="2" fillId="0" borderId="0" xfId="0" applyNumberFormat="1" applyFont="1"/>
    <xf numFmtId="0" fontId="10" fillId="0" borderId="4" xfId="0" applyFont="1" applyBorder="1"/>
    <xf numFmtId="172" fontId="4" fillId="0" borderId="0" xfId="0" applyNumberFormat="1" applyFont="1"/>
    <xf numFmtId="164" fontId="4" fillId="0" borderId="0" xfId="1" applyNumberFormat="1" applyFont="1" applyFill="1" applyBorder="1"/>
    <xf numFmtId="10" fontId="4" fillId="0" borderId="0" xfId="3" applyNumberFormat="1" applyFont="1" applyFill="1" applyBorder="1"/>
    <xf numFmtId="165" fontId="4" fillId="0" borderId="5" xfId="0" applyNumberFormat="1" applyFont="1" applyBorder="1" applyAlignment="1">
      <alignment horizontal="center"/>
    </xf>
    <xf numFmtId="165" fontId="4" fillId="0" borderId="0" xfId="0" applyNumberFormat="1" applyFont="1"/>
    <xf numFmtId="0" fontId="2" fillId="2" borderId="18" xfId="0" applyFont="1" applyFill="1" applyBorder="1"/>
    <xf numFmtId="0" fontId="2" fillId="0" borderId="19" xfId="0" applyFont="1" applyBorder="1"/>
    <xf numFmtId="0" fontId="2" fillId="0" borderId="20" xfId="0" applyFont="1" applyBorder="1"/>
    <xf numFmtId="166" fontId="2" fillId="0" borderId="21" xfId="1" applyNumberFormat="1" applyFont="1" applyFill="1" applyBorder="1"/>
    <xf numFmtId="172" fontId="2" fillId="0" borderId="0" xfId="2" applyNumberFormat="1" applyFont="1"/>
    <xf numFmtId="9" fontId="2" fillId="0" borderId="17" xfId="3" applyFont="1" applyFill="1" applyBorder="1"/>
    <xf numFmtId="3" fontId="2" fillId="0" borderId="0" xfId="0" applyNumberFormat="1" applyFont="1"/>
    <xf numFmtId="166" fontId="2" fillId="0" borderId="20" xfId="1" applyNumberFormat="1" applyFont="1" applyFill="1" applyBorder="1"/>
    <xf numFmtId="166" fontId="2" fillId="0" borderId="4" xfId="0" applyNumberFormat="1" applyFont="1" applyBorder="1"/>
    <xf numFmtId="166" fontId="2" fillId="0" borderId="0" xfId="0" applyNumberFormat="1" applyFont="1"/>
    <xf numFmtId="166" fontId="2" fillId="0" borderId="14" xfId="1" applyNumberFormat="1" applyFont="1" applyFill="1" applyBorder="1"/>
    <xf numFmtId="166" fontId="2" fillId="7" borderId="4" xfId="0" applyNumberFormat="1" applyFont="1" applyFill="1" applyBorder="1"/>
    <xf numFmtId="0" fontId="2" fillId="7" borderId="5" xfId="0" applyFont="1" applyFill="1" applyBorder="1"/>
    <xf numFmtId="166" fontId="2" fillId="4" borderId="6" xfId="1" applyNumberFormat="1" applyFont="1" applyFill="1" applyBorder="1"/>
    <xf numFmtId="9" fontId="2" fillId="4" borderId="7" xfId="3" applyFont="1" applyFill="1" applyBorder="1"/>
    <xf numFmtId="0" fontId="2" fillId="4" borderId="8" xfId="0" applyFont="1" applyFill="1" applyBorder="1"/>
    <xf numFmtId="166" fontId="2" fillId="0" borderId="16" xfId="1" applyNumberFormat="1" applyFont="1" applyFill="1" applyBorder="1"/>
    <xf numFmtId="166" fontId="2" fillId="0" borderId="17" xfId="1" applyNumberFormat="1" applyFont="1" applyFill="1" applyBorder="1"/>
    <xf numFmtId="0" fontId="7" fillId="0" borderId="19" xfId="0" applyFont="1" applyBorder="1"/>
    <xf numFmtId="0" fontId="7" fillId="0" borderId="20" xfId="0" applyFont="1" applyBorder="1"/>
    <xf numFmtId="166" fontId="2" fillId="0" borderId="20" xfId="1" applyNumberFormat="1" applyFont="1" applyFill="1" applyBorder="1" applyAlignment="1">
      <alignment horizontal="right"/>
    </xf>
    <xf numFmtId="166" fontId="2" fillId="0" borderId="20" xfId="1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166" fontId="2" fillId="0" borderId="0" xfId="1" applyNumberFormat="1" applyFont="1" applyFill="1" applyBorder="1" applyAlignment="1">
      <alignment horizontal="center"/>
    </xf>
    <xf numFmtId="10" fontId="2" fillId="0" borderId="0" xfId="0" applyNumberFormat="1" applyFont="1" applyAlignment="1">
      <alignment horizontal="center"/>
    </xf>
    <xf numFmtId="9" fontId="2" fillId="0" borderId="0" xfId="0" applyNumberFormat="1" applyFont="1"/>
    <xf numFmtId="166" fontId="2" fillId="0" borderId="14" xfId="1" applyNumberFormat="1" applyFont="1" applyFill="1" applyBorder="1" applyAlignment="1">
      <alignment horizontal="center"/>
    </xf>
    <xf numFmtId="166" fontId="2" fillId="0" borderId="22" xfId="1" applyNumberFormat="1" applyFont="1" applyFill="1" applyBorder="1" applyAlignment="1">
      <alignment horizontal="center"/>
    </xf>
    <xf numFmtId="166" fontId="2" fillId="0" borderId="17" xfId="1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166" fontId="2" fillId="0" borderId="7" xfId="1" applyNumberFormat="1" applyFont="1" applyFill="1" applyBorder="1"/>
    <xf numFmtId="0" fontId="2" fillId="0" borderId="8" xfId="0" applyFont="1" applyBorder="1"/>
    <xf numFmtId="174" fontId="13" fillId="0" borderId="5" xfId="0" applyNumberFormat="1" applyFont="1" applyBorder="1" applyAlignment="1">
      <alignment horizontal="right"/>
    </xf>
    <xf numFmtId="174" fontId="13" fillId="6" borderId="0" xfId="0" applyNumberFormat="1" applyFont="1" applyFill="1"/>
    <xf numFmtId="9" fontId="2" fillId="7" borderId="0" xfId="3" applyFont="1" applyFill="1"/>
    <xf numFmtId="170" fontId="14" fillId="0" borderId="0" xfId="1" applyNumberFormat="1" applyFont="1" applyFill="1" applyBorder="1" applyAlignment="1">
      <alignment horizontal="center"/>
    </xf>
    <xf numFmtId="169" fontId="7" fillId="0" borderId="0" xfId="0" applyNumberFormat="1" applyFont="1"/>
    <xf numFmtId="10" fontId="13" fillId="0" borderId="5" xfId="3" applyNumberFormat="1" applyFont="1" applyBorder="1"/>
    <xf numFmtId="10" fontId="2" fillId="0" borderId="0" xfId="0" applyNumberFormat="1" applyFont="1"/>
    <xf numFmtId="0" fontId="15" fillId="0" borderId="0" xfId="0" applyFont="1"/>
    <xf numFmtId="166" fontId="15" fillId="0" borderId="0" xfId="1" applyNumberFormat="1" applyFont="1" applyFill="1"/>
    <xf numFmtId="0" fontId="15" fillId="0" borderId="1" xfId="0" applyFont="1" applyBorder="1"/>
    <xf numFmtId="0" fontId="15" fillId="0" borderId="2" xfId="0" applyFont="1" applyBorder="1"/>
    <xf numFmtId="0" fontId="15" fillId="0" borderId="3" xfId="0" applyFont="1" applyBorder="1"/>
    <xf numFmtId="166" fontId="16" fillId="0" borderId="0" xfId="1" applyNumberFormat="1" applyFont="1" applyFill="1" applyBorder="1" applyAlignment="1">
      <alignment horizontal="right"/>
    </xf>
    <xf numFmtId="166" fontId="15" fillId="0" borderId="0" xfId="1" applyNumberFormat="1" applyFont="1" applyFill="1" applyBorder="1"/>
    <xf numFmtId="0" fontId="16" fillId="0" borderId="0" xfId="0" applyFont="1"/>
    <xf numFmtId="0" fontId="15" fillId="0" borderId="5" xfId="0" applyFont="1" applyBorder="1"/>
    <xf numFmtId="0" fontId="15" fillId="0" borderId="7" xfId="0" applyFont="1" applyBorder="1"/>
    <xf numFmtId="0" fontId="15" fillId="0" borderId="8" xfId="0" applyFont="1" applyBorder="1"/>
    <xf numFmtId="0" fontId="18" fillId="0" borderId="1" xfId="0" applyFont="1" applyBorder="1"/>
    <xf numFmtId="0" fontId="18" fillId="0" borderId="2" xfId="0" applyFont="1" applyBorder="1"/>
    <xf numFmtId="166" fontId="15" fillId="0" borderId="2" xfId="1" applyNumberFormat="1" applyFont="1" applyFill="1" applyBorder="1"/>
    <xf numFmtId="0" fontId="16" fillId="0" borderId="2" xfId="0" applyFont="1" applyBorder="1"/>
    <xf numFmtId="0" fontId="16" fillId="0" borderId="4" xfId="0" applyFont="1" applyBorder="1"/>
    <xf numFmtId="168" fontId="15" fillId="0" borderId="9" xfId="0" applyNumberFormat="1" applyFont="1" applyBorder="1"/>
    <xf numFmtId="0" fontId="16" fillId="0" borderId="10" xfId="0" applyFont="1" applyBorder="1"/>
    <xf numFmtId="0" fontId="15" fillId="0" borderId="11" xfId="0" applyFont="1" applyBorder="1"/>
    <xf numFmtId="0" fontId="15" fillId="0" borderId="12" xfId="0" applyFont="1" applyBorder="1"/>
    <xf numFmtId="0" fontId="18" fillId="0" borderId="4" xfId="0" applyFont="1" applyBorder="1"/>
    <xf numFmtId="0" fontId="18" fillId="0" borderId="0" xfId="0" applyFont="1"/>
    <xf numFmtId="0" fontId="15" fillId="8" borderId="19" xfId="0" applyFont="1" applyFill="1" applyBorder="1"/>
    <xf numFmtId="0" fontId="15" fillId="8" borderId="20" xfId="0" applyFont="1" applyFill="1" applyBorder="1"/>
    <xf numFmtId="0" fontId="15" fillId="8" borderId="21" xfId="0" applyFont="1" applyFill="1" applyBorder="1"/>
    <xf numFmtId="168" fontId="15" fillId="0" borderId="0" xfId="0" applyNumberFormat="1" applyFont="1"/>
    <xf numFmtId="0" fontId="15" fillId="0" borderId="13" xfId="0" applyFont="1" applyBorder="1"/>
    <xf numFmtId="0" fontId="15" fillId="0" borderId="14" xfId="0" applyFont="1" applyBorder="1"/>
    <xf numFmtId="0" fontId="15" fillId="0" borderId="4" xfId="0" applyFont="1" applyBorder="1"/>
    <xf numFmtId="0" fontId="15" fillId="0" borderId="13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5" fillId="0" borderId="14" xfId="0" applyFont="1" applyBorder="1" applyAlignment="1">
      <alignment horizontal="right"/>
    </xf>
    <xf numFmtId="168" fontId="15" fillId="0" borderId="0" xfId="1" applyNumberFormat="1" applyFont="1" applyFill="1" applyBorder="1"/>
    <xf numFmtId="166" fontId="15" fillId="0" borderId="13" xfId="1" applyNumberFormat="1" applyFont="1" applyFill="1" applyBorder="1"/>
    <xf numFmtId="169" fontId="15" fillId="0" borderId="0" xfId="0" applyNumberFormat="1" applyFont="1"/>
    <xf numFmtId="169" fontId="15" fillId="0" borderId="14" xfId="0" applyNumberFormat="1" applyFont="1" applyBorder="1"/>
    <xf numFmtId="170" fontId="15" fillId="0" borderId="0" xfId="0" applyNumberFormat="1" applyFont="1"/>
    <xf numFmtId="0" fontId="16" fillId="0" borderId="5" xfId="0" applyFont="1" applyBorder="1"/>
    <xf numFmtId="168" fontId="19" fillId="0" borderId="0" xfId="0" applyNumberFormat="1" applyFont="1"/>
    <xf numFmtId="168" fontId="19" fillId="0" borderId="0" xfId="1" applyNumberFormat="1" applyFont="1" applyFill="1" applyBorder="1"/>
    <xf numFmtId="166" fontId="16" fillId="0" borderId="0" xfId="1" applyNumberFormat="1" applyFont="1" applyFill="1" applyBorder="1"/>
    <xf numFmtId="0" fontId="19" fillId="0" borderId="0" xfId="0" applyFont="1"/>
    <xf numFmtId="0" fontId="19" fillId="0" borderId="5" xfId="0" applyFont="1" applyBorder="1"/>
    <xf numFmtId="0" fontId="19" fillId="0" borderId="4" xfId="0" applyFont="1" applyBorder="1"/>
    <xf numFmtId="166" fontId="19" fillId="0" borderId="0" xfId="1" applyNumberFormat="1" applyFont="1" applyFill="1" applyBorder="1"/>
    <xf numFmtId="0" fontId="15" fillId="0" borderId="4" xfId="0" applyFont="1" applyBorder="1" applyAlignment="1">
      <alignment wrapText="1"/>
    </xf>
    <xf numFmtId="0" fontId="15" fillId="0" borderId="0" xfId="0" applyFont="1" applyAlignment="1">
      <alignment wrapText="1"/>
    </xf>
    <xf numFmtId="168" fontId="15" fillId="0" borderId="0" xfId="1" applyNumberFormat="1" applyFont="1" applyFill="1" applyBorder="1" applyAlignment="1">
      <alignment wrapText="1"/>
    </xf>
    <xf numFmtId="168" fontId="15" fillId="0" borderId="0" xfId="0" applyNumberFormat="1" applyFont="1" applyAlignment="1">
      <alignment wrapText="1"/>
    </xf>
    <xf numFmtId="0" fontId="15" fillId="0" borderId="5" xfId="0" applyFont="1" applyBorder="1" applyAlignment="1">
      <alignment wrapText="1"/>
    </xf>
    <xf numFmtId="166" fontId="15" fillId="0" borderId="10" xfId="1" applyNumberFormat="1" applyFont="1" applyFill="1" applyBorder="1"/>
    <xf numFmtId="169" fontId="15" fillId="0" borderId="11" xfId="0" applyNumberFormat="1" applyFont="1" applyBorder="1"/>
    <xf numFmtId="169" fontId="15" fillId="0" borderId="12" xfId="0" applyNumberFormat="1" applyFont="1" applyBorder="1" applyAlignment="1">
      <alignment wrapText="1"/>
    </xf>
    <xf numFmtId="168" fontId="15" fillId="8" borderId="0" xfId="1" applyNumberFormat="1" applyFont="1" applyFill="1" applyBorder="1" applyAlignment="1">
      <alignment horizontal="right" wrapText="1"/>
    </xf>
    <xf numFmtId="168" fontId="19" fillId="0" borderId="0" xfId="0" applyNumberFormat="1" applyFont="1" applyAlignment="1">
      <alignment wrapText="1"/>
    </xf>
    <xf numFmtId="0" fontId="16" fillId="0" borderId="1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9" fillId="0" borderId="12" xfId="0" applyFont="1" applyBorder="1"/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wrapText="1"/>
    </xf>
    <xf numFmtId="168" fontId="15" fillId="0" borderId="14" xfId="0" applyNumberFormat="1" applyFont="1" applyBorder="1"/>
    <xf numFmtId="164" fontId="15" fillId="0" borderId="0" xfId="0" applyNumberFormat="1" applyFont="1"/>
    <xf numFmtId="164" fontId="19" fillId="0" borderId="14" xfId="0" applyNumberFormat="1" applyFont="1" applyBorder="1"/>
    <xf numFmtId="0" fontId="15" fillId="4" borderId="13" xfId="0" applyFont="1" applyFill="1" applyBorder="1"/>
    <xf numFmtId="0" fontId="15" fillId="4" borderId="0" xfId="0" applyFont="1" applyFill="1"/>
    <xf numFmtId="168" fontId="15" fillId="4" borderId="14" xfId="0" applyNumberFormat="1" applyFont="1" applyFill="1" applyBorder="1"/>
    <xf numFmtId="168" fontId="20" fillId="0" borderId="0" xfId="1" applyNumberFormat="1" applyFont="1" applyFill="1" applyBorder="1" applyAlignment="1">
      <alignment wrapText="1"/>
    </xf>
    <xf numFmtId="168" fontId="20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13" xfId="0" applyFont="1" applyBorder="1"/>
    <xf numFmtId="0" fontId="20" fillId="0" borderId="0" xfId="0" applyFont="1"/>
    <xf numFmtId="9" fontId="20" fillId="0" borderId="14" xfId="3" applyFont="1" applyFill="1" applyBorder="1"/>
    <xf numFmtId="0" fontId="20" fillId="0" borderId="5" xfId="0" applyFont="1" applyBorder="1" applyAlignment="1">
      <alignment wrapText="1"/>
    </xf>
    <xf numFmtId="0" fontId="20" fillId="0" borderId="4" xfId="0" applyFont="1" applyBorder="1" applyAlignment="1">
      <alignment wrapText="1"/>
    </xf>
    <xf numFmtId="0" fontId="20" fillId="0" borderId="0" xfId="0" applyFont="1" applyAlignment="1">
      <alignment horizontal="right" wrapText="1"/>
    </xf>
    <xf numFmtId="168" fontId="21" fillId="0" borderId="0" xfId="1" applyNumberFormat="1" applyFont="1" applyFill="1" applyBorder="1" applyAlignment="1">
      <alignment horizontal="right" wrapText="1"/>
    </xf>
    <xf numFmtId="168" fontId="15" fillId="4" borderId="0" xfId="1" applyNumberFormat="1" applyFont="1" applyFill="1" applyBorder="1"/>
    <xf numFmtId="0" fontId="15" fillId="0" borderId="4" xfId="0" applyFont="1" applyBorder="1" applyAlignment="1">
      <alignment horizontal="left" wrapText="1"/>
    </xf>
    <xf numFmtId="168" fontId="15" fillId="9" borderId="0" xfId="0" applyNumberFormat="1" applyFont="1" applyFill="1" applyAlignment="1">
      <alignment horizontal="right" wrapText="1"/>
    </xf>
    <xf numFmtId="168" fontId="15" fillId="0" borderId="0" xfId="1" applyNumberFormat="1" applyFont="1" applyFill="1" applyBorder="1" applyAlignment="1">
      <alignment horizontal="right"/>
    </xf>
    <xf numFmtId="168" fontId="15" fillId="0" borderId="0" xfId="0" applyNumberFormat="1" applyFont="1" applyAlignment="1">
      <alignment vertical="center"/>
    </xf>
    <xf numFmtId="170" fontId="22" fillId="0" borderId="0" xfId="1" applyNumberFormat="1" applyFont="1" applyFill="1" applyBorder="1" applyAlignment="1">
      <alignment horizontal="center"/>
    </xf>
    <xf numFmtId="0" fontId="16" fillId="0" borderId="13" xfId="0" applyFont="1" applyBorder="1"/>
    <xf numFmtId="0" fontId="16" fillId="0" borderId="14" xfId="0" applyFont="1" applyBorder="1"/>
    <xf numFmtId="170" fontId="16" fillId="0" borderId="0" xfId="1" applyNumberFormat="1" applyFont="1" applyFill="1" applyBorder="1" applyAlignment="1">
      <alignment horizontal="center"/>
    </xf>
    <xf numFmtId="9" fontId="16" fillId="0" borderId="0" xfId="3" applyFont="1" applyFill="1" applyBorder="1" applyAlignment="1">
      <alignment horizontal="center"/>
    </xf>
    <xf numFmtId="0" fontId="15" fillId="0" borderId="15" xfId="0" applyFont="1" applyBorder="1"/>
    <xf numFmtId="0" fontId="15" fillId="0" borderId="16" xfId="0" applyFont="1" applyBorder="1"/>
    <xf numFmtId="168" fontId="15" fillId="0" borderId="17" xfId="0" applyNumberFormat="1" applyFont="1" applyBorder="1"/>
    <xf numFmtId="168" fontId="16" fillId="0" borderId="0" xfId="1" applyNumberFormat="1" applyFont="1" applyFill="1" applyBorder="1"/>
    <xf numFmtId="168" fontId="19" fillId="4" borderId="0" xfId="0" applyNumberFormat="1" applyFont="1" applyFill="1"/>
    <xf numFmtId="9" fontId="15" fillId="0" borderId="0" xfId="3" applyFont="1" applyFill="1" applyBorder="1" applyAlignment="1">
      <alignment horizontal="right"/>
    </xf>
    <xf numFmtId="171" fontId="16" fillId="0" borderId="0" xfId="3" applyNumberFormat="1" applyFont="1" applyFill="1" applyBorder="1"/>
    <xf numFmtId="10" fontId="23" fillId="0" borderId="0" xfId="3" applyNumberFormat="1" applyFont="1" applyFill="1" applyBorder="1" applyAlignment="1">
      <alignment horizontal="right"/>
    </xf>
    <xf numFmtId="164" fontId="16" fillId="0" borderId="0" xfId="1" applyNumberFormat="1" applyFont="1" applyFill="1" applyBorder="1"/>
    <xf numFmtId="10" fontId="15" fillId="0" borderId="0" xfId="0" applyNumberFormat="1" applyFont="1"/>
    <xf numFmtId="10" fontId="16" fillId="0" borderId="0" xfId="3" applyNumberFormat="1" applyFont="1" applyFill="1" applyBorder="1"/>
    <xf numFmtId="165" fontId="16" fillId="0" borderId="0" xfId="0" applyNumberFormat="1" applyFont="1" applyAlignment="1">
      <alignment horizontal="center"/>
    </xf>
    <xf numFmtId="165" fontId="16" fillId="0" borderId="0" xfId="0" applyNumberFormat="1" applyFont="1"/>
    <xf numFmtId="174" fontId="15" fillId="0" borderId="0" xfId="0" applyNumberFormat="1" applyFont="1"/>
    <xf numFmtId="174" fontId="23" fillId="0" borderId="0" xfId="0" applyNumberFormat="1" applyFont="1" applyAlignment="1">
      <alignment horizontal="right"/>
    </xf>
    <xf numFmtId="0" fontId="15" fillId="0" borderId="18" xfId="0" applyFont="1" applyBorder="1"/>
    <xf numFmtId="0" fontId="15" fillId="0" borderId="19" xfId="0" applyFont="1" applyBorder="1"/>
    <xf numFmtId="0" fontId="15" fillId="0" borderId="20" xfId="0" applyFont="1" applyBorder="1"/>
    <xf numFmtId="166" fontId="15" fillId="0" borderId="21" xfId="1" applyNumberFormat="1" applyFont="1" applyFill="1" applyBorder="1"/>
    <xf numFmtId="169" fontId="15" fillId="0" borderId="0" xfId="2" applyNumberFormat="1" applyFont="1" applyFill="1" applyBorder="1"/>
    <xf numFmtId="9" fontId="15" fillId="0" borderId="17" xfId="3" applyFont="1" applyFill="1" applyBorder="1"/>
    <xf numFmtId="3" fontId="15" fillId="0" borderId="0" xfId="0" applyNumberFormat="1" applyFont="1"/>
    <xf numFmtId="166" fontId="15" fillId="0" borderId="20" xfId="1" applyNumberFormat="1" applyFont="1" applyFill="1" applyBorder="1"/>
    <xf numFmtId="166" fontId="15" fillId="0" borderId="0" xfId="0" applyNumberFormat="1" applyFont="1"/>
    <xf numFmtId="166" fontId="15" fillId="0" borderId="14" xfId="1" applyNumberFormat="1" applyFont="1" applyFill="1" applyBorder="1"/>
    <xf numFmtId="9" fontId="15" fillId="0" borderId="0" xfId="3" applyFont="1" applyFill="1" applyBorder="1"/>
    <xf numFmtId="166" fontId="15" fillId="0" borderId="16" xfId="1" applyNumberFormat="1" applyFont="1" applyFill="1" applyBorder="1"/>
    <xf numFmtId="166" fontId="15" fillId="0" borderId="17" xfId="1" applyNumberFormat="1" applyFont="1" applyFill="1" applyBorder="1"/>
    <xf numFmtId="0" fontId="19" fillId="0" borderId="19" xfId="0" applyFont="1" applyBorder="1"/>
    <xf numFmtId="0" fontId="19" fillId="0" borderId="20" xfId="0" applyFont="1" applyBorder="1"/>
    <xf numFmtId="166" fontId="15" fillId="0" borderId="20" xfId="1" applyNumberFormat="1" applyFont="1" applyFill="1" applyBorder="1" applyAlignment="1">
      <alignment horizontal="right"/>
    </xf>
    <xf numFmtId="166" fontId="15" fillId="0" borderId="20" xfId="1" applyNumberFormat="1" applyFont="1" applyFill="1" applyBorder="1" applyAlignment="1">
      <alignment horizontal="center"/>
    </xf>
    <xf numFmtId="0" fontId="15" fillId="0" borderId="20" xfId="0" applyFont="1" applyBorder="1" applyAlignment="1">
      <alignment horizontal="center"/>
    </xf>
    <xf numFmtId="166" fontId="15" fillId="0" borderId="19" xfId="1" applyNumberFormat="1" applyFont="1" applyFill="1" applyBorder="1"/>
    <xf numFmtId="169" fontId="15" fillId="0" borderId="21" xfId="0" applyNumberFormat="1" applyFont="1" applyBorder="1"/>
    <xf numFmtId="166" fontId="15" fillId="0" borderId="0" xfId="1" applyNumberFormat="1" applyFont="1" applyFill="1" applyBorder="1" applyAlignment="1">
      <alignment horizontal="center"/>
    </xf>
    <xf numFmtId="10" fontId="15" fillId="0" borderId="0" xfId="0" applyNumberFormat="1" applyFont="1" applyAlignment="1">
      <alignment horizontal="center"/>
    </xf>
    <xf numFmtId="9" fontId="15" fillId="0" borderId="0" xfId="0" applyNumberFormat="1" applyFont="1"/>
    <xf numFmtId="166" fontId="15" fillId="0" borderId="14" xfId="1" applyNumberFormat="1" applyFont="1" applyFill="1" applyBorder="1" applyAlignment="1">
      <alignment horizontal="center"/>
    </xf>
    <xf numFmtId="166" fontId="15" fillId="0" borderId="23" xfId="1" applyNumberFormat="1" applyFont="1" applyFill="1" applyBorder="1" applyAlignment="1">
      <alignment horizontal="center"/>
    </xf>
    <xf numFmtId="166" fontId="15" fillId="0" borderId="15" xfId="1" applyNumberFormat="1" applyFont="1" applyFill="1" applyBorder="1"/>
    <xf numFmtId="169" fontId="15" fillId="0" borderId="17" xfId="0" applyNumberFormat="1" applyFont="1" applyBorder="1"/>
    <xf numFmtId="166" fontId="15" fillId="0" borderId="17" xfId="1" applyNumberFormat="1" applyFont="1" applyFill="1" applyBorder="1" applyAlignment="1">
      <alignment horizontal="center"/>
    </xf>
    <xf numFmtId="0" fontId="15" fillId="0" borderId="17" xfId="0" applyFont="1" applyBorder="1"/>
    <xf numFmtId="0" fontId="15" fillId="0" borderId="6" xfId="0" applyFont="1" applyBorder="1"/>
    <xf numFmtId="166" fontId="15" fillId="0" borderId="7" xfId="1" applyNumberFormat="1" applyFont="1" applyFill="1" applyBorder="1"/>
    <xf numFmtId="0" fontId="15" fillId="0" borderId="10" xfId="0" applyFont="1" applyBorder="1"/>
    <xf numFmtId="10" fontId="15" fillId="8" borderId="21" xfId="0" applyNumberFormat="1" applyFont="1" applyFill="1" applyBorder="1"/>
    <xf numFmtId="10" fontId="15" fillId="8" borderId="14" xfId="0" applyNumberFormat="1" applyFont="1" applyFill="1" applyBorder="1"/>
    <xf numFmtId="0" fontId="15" fillId="8" borderId="14" xfId="0" applyFont="1" applyFill="1" applyBorder="1"/>
    <xf numFmtId="2" fontId="15" fillId="8" borderId="17" xfId="0" applyNumberFormat="1" applyFont="1" applyFill="1" applyBorder="1"/>
    <xf numFmtId="166" fontId="17" fillId="8" borderId="0" xfId="1" applyNumberFormat="1" applyFont="1" applyFill="1" applyBorder="1"/>
    <xf numFmtId="168" fontId="15" fillId="8" borderId="0" xfId="1" applyNumberFormat="1" applyFont="1" applyFill="1" applyBorder="1" applyAlignment="1">
      <alignment wrapText="1"/>
    </xf>
    <xf numFmtId="168" fontId="15" fillId="8" borderId="0" xfId="1" applyNumberFormat="1" applyFont="1" applyFill="1" applyBorder="1"/>
    <xf numFmtId="0" fontId="15" fillId="3" borderId="13" xfId="0" applyFont="1" applyFill="1" applyBorder="1"/>
    <xf numFmtId="0" fontId="15" fillId="3" borderId="0" xfId="0" applyFont="1" applyFill="1"/>
    <xf numFmtId="168" fontId="15" fillId="3" borderId="14" xfId="0" applyNumberFormat="1" applyFont="1" applyFill="1" applyBorder="1"/>
    <xf numFmtId="168" fontId="16" fillId="3" borderId="0" xfId="1" applyNumberFormat="1" applyFont="1" applyFill="1" applyBorder="1"/>
    <xf numFmtId="0" fontId="15" fillId="8" borderId="0" xfId="0" applyFont="1" applyFill="1"/>
    <xf numFmtId="166" fontId="24" fillId="0" borderId="0" xfId="1" applyNumberFormat="1" applyFont="1" applyFill="1"/>
    <xf numFmtId="0" fontId="25" fillId="0" borderId="6" xfId="0" quotePrefix="1" applyFont="1" applyBorder="1"/>
    <xf numFmtId="0" fontId="26" fillId="0" borderId="7" xfId="0" applyFont="1" applyBorder="1"/>
    <xf numFmtId="166" fontId="27" fillId="0" borderId="7" xfId="1" applyNumberFormat="1" applyFont="1" applyFill="1" applyBorder="1"/>
    <xf numFmtId="166" fontId="28" fillId="0" borderId="7" xfId="1" applyNumberFormat="1" applyFont="1" applyFill="1" applyBorder="1"/>
    <xf numFmtId="0" fontId="25" fillId="0" borderId="7" xfId="0" applyFont="1" applyBorder="1"/>
    <xf numFmtId="0" fontId="27" fillId="0" borderId="7" xfId="0" applyFont="1" applyBorder="1"/>
    <xf numFmtId="167" fontId="28" fillId="0" borderId="7" xfId="0" applyNumberFormat="1" applyFont="1" applyBorder="1"/>
    <xf numFmtId="0" fontId="25" fillId="0" borderId="8" xfId="0" applyFont="1" applyBorder="1"/>
    <xf numFmtId="0" fontId="16" fillId="8" borderId="0" xfId="0" applyFont="1" applyFill="1"/>
    <xf numFmtId="0" fontId="0" fillId="0" borderId="0" xfId="0" applyAlignment="1">
      <alignment horizontal="left"/>
    </xf>
    <xf numFmtId="166" fontId="15" fillId="8" borderId="0" xfId="1" applyNumberFormat="1" applyFont="1" applyFill="1" applyBorder="1"/>
    <xf numFmtId="0" fontId="23" fillId="0" borderId="0" xfId="0" applyFont="1"/>
    <xf numFmtId="0" fontId="23" fillId="0" borderId="0" xfId="0" applyFont="1" applyAlignment="1">
      <alignment horizontal="left"/>
    </xf>
    <xf numFmtId="0" fontId="23" fillId="0" borderId="1" xfId="0" applyFont="1" applyBorder="1"/>
    <xf numFmtId="0" fontId="23" fillId="0" borderId="3" xfId="0" applyFont="1" applyBorder="1" applyAlignment="1">
      <alignment horizontal="left"/>
    </xf>
    <xf numFmtId="0" fontId="23" fillId="0" borderId="4" xfId="0" applyFont="1" applyBorder="1"/>
    <xf numFmtId="0" fontId="23" fillId="0" borderId="5" xfId="0" applyFont="1" applyBorder="1" applyAlignment="1">
      <alignment horizontal="left"/>
    </xf>
    <xf numFmtId="0" fontId="23" fillId="8" borderId="5" xfId="0" applyFont="1" applyFill="1" applyBorder="1" applyAlignment="1">
      <alignment horizontal="left"/>
    </xf>
    <xf numFmtId="0" fontId="23" fillId="0" borderId="6" xfId="0" applyFont="1" applyBorder="1"/>
    <xf numFmtId="0" fontId="23" fillId="8" borderId="8" xfId="0" applyFont="1" applyFill="1" applyBorder="1" applyAlignment="1">
      <alignment horizontal="left"/>
    </xf>
    <xf numFmtId="0" fontId="23" fillId="0" borderId="8" xfId="0" applyFont="1" applyBorder="1" applyAlignment="1">
      <alignment horizontal="left"/>
    </xf>
    <xf numFmtId="10" fontId="23" fillId="0" borderId="5" xfId="0" applyNumberFormat="1" applyFont="1" applyBorder="1" applyAlignment="1">
      <alignment horizontal="left"/>
    </xf>
    <xf numFmtId="10" fontId="23" fillId="0" borderId="8" xfId="0" applyNumberFormat="1" applyFont="1" applyBorder="1" applyAlignment="1">
      <alignment horizontal="left"/>
    </xf>
    <xf numFmtId="168" fontId="19" fillId="8" borderId="0" xfId="1" applyNumberFormat="1" applyFont="1" applyFill="1" applyBorder="1" applyAlignment="1">
      <alignment wrapText="1"/>
    </xf>
    <xf numFmtId="9" fontId="15" fillId="0" borderId="14" xfId="3" applyFont="1" applyFill="1" applyBorder="1"/>
    <xf numFmtId="9" fontId="15" fillId="0" borderId="0" xfId="1" applyNumberFormat="1" applyFont="1" applyFill="1" applyBorder="1" applyAlignment="1">
      <alignment wrapText="1"/>
    </xf>
    <xf numFmtId="168" fontId="16" fillId="0" borderId="0" xfId="1" applyNumberFormat="1" applyFont="1" applyFill="1" applyBorder="1" applyAlignment="1">
      <alignment horizontal="right" wrapText="1"/>
    </xf>
    <xf numFmtId="167" fontId="15" fillId="8" borderId="0" xfId="0" applyNumberFormat="1" applyFont="1" applyFill="1"/>
    <xf numFmtId="0" fontId="0" fillId="0" borderId="0" xfId="0"/>
    <xf numFmtId="0" fontId="29" fillId="0" borderId="0" xfId="0" applyFont="1" applyAlignment="1">
      <alignment horizontal="center"/>
    </xf>
  </cellXfs>
  <cellStyles count="77">
    <cellStyle name="Comma" xfId="1" builtinId="3"/>
    <cellStyle name="Comma 2" xfId="4" xr:uid="{00000000-0005-0000-0000-000001000000}"/>
    <cellStyle name="Currency" xfId="2" builtinId="4"/>
    <cellStyle name="Currency 2" xfId="5" xr:uid="{00000000-0005-0000-0000-000003000000}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Normal" xfId="0" builtinId="0"/>
    <cellStyle name="Per cent" xfId="3" builtinId="5"/>
    <cellStyle name="Percent 2" xfId="6" xr:uid="{00000000-0005-0000-0000-00004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2</xdr:row>
      <xdr:rowOff>50800</xdr:rowOff>
    </xdr:from>
    <xdr:to>
      <xdr:col>2</xdr:col>
      <xdr:colOff>2857500</xdr:colOff>
      <xdr:row>12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D86707-8B76-5444-B58D-7D259C6B1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7400" y="381000"/>
          <a:ext cx="1981200" cy="172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84"/>
  <sheetViews>
    <sheetView topLeftCell="A38" zoomScale="150" zoomScaleNormal="150" zoomScalePageLayoutView="150" workbookViewId="0">
      <selection activeCell="C51" sqref="C51"/>
    </sheetView>
  </sheetViews>
  <sheetFormatPr baseColWidth="10" defaultColWidth="9.1640625" defaultRowHeight="16"/>
  <cols>
    <col min="1" max="1" width="43" style="4" customWidth="1"/>
    <col min="2" max="2" width="13" style="4" customWidth="1"/>
    <col min="3" max="3" width="15.6640625" style="78" bestFit="1" customWidth="1"/>
    <col min="4" max="4" width="14" style="78" customWidth="1"/>
    <col min="5" max="5" width="14.33203125" style="4" customWidth="1"/>
    <col min="6" max="6" width="6.33203125" style="4" customWidth="1"/>
    <col min="7" max="7" width="18.83203125" style="4" customWidth="1"/>
    <col min="8" max="8" width="14" style="4" customWidth="1"/>
    <col min="9" max="9" width="17.6640625" style="4" customWidth="1"/>
    <col min="10" max="10" width="2.83203125" style="4" customWidth="1"/>
    <col min="11" max="16384" width="9.1640625" style="4"/>
  </cols>
  <sheetData>
    <row r="1" spans="1:10" ht="9.75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spans="1:10" ht="18.75" customHeight="1">
      <c r="A2" s="5" t="s">
        <v>0</v>
      </c>
      <c r="B2" s="6" t="s">
        <v>1</v>
      </c>
      <c r="C2" s="7" t="s">
        <v>69</v>
      </c>
      <c r="D2" s="7"/>
      <c r="E2" s="8"/>
      <c r="F2" s="9"/>
      <c r="G2" s="8"/>
      <c r="H2" s="9" t="s">
        <v>83</v>
      </c>
      <c r="I2" s="10"/>
      <c r="J2" s="11"/>
    </row>
    <row r="3" spans="1:10" ht="8.25" customHeight="1" thickBot="1">
      <c r="A3" s="12"/>
      <c r="B3" s="13"/>
      <c r="C3" s="14"/>
      <c r="D3" s="15"/>
      <c r="E3" s="16"/>
      <c r="F3" s="17"/>
      <c r="G3" s="17"/>
      <c r="H3" s="17"/>
      <c r="I3" s="18"/>
      <c r="J3" s="19"/>
    </row>
    <row r="4" spans="1:10">
      <c r="A4" s="20"/>
      <c r="B4" s="21"/>
      <c r="C4" s="22"/>
      <c r="D4" s="22"/>
      <c r="E4" s="23"/>
      <c r="F4" s="24"/>
      <c r="G4" s="24"/>
      <c r="H4" s="24"/>
      <c r="I4" s="23"/>
      <c r="J4" s="25"/>
    </row>
    <row r="5" spans="1:10">
      <c r="A5" s="26" t="s">
        <v>2</v>
      </c>
      <c r="B5" s="27"/>
      <c r="C5" s="28"/>
      <c r="D5" s="28"/>
      <c r="E5" s="29">
        <f>D7</f>
        <v>3630000</v>
      </c>
      <c r="F5" s="27"/>
      <c r="J5" s="30"/>
    </row>
    <row r="6" spans="1:10">
      <c r="A6" s="31"/>
      <c r="B6" s="32"/>
      <c r="C6" s="28"/>
      <c r="D6" s="28"/>
      <c r="F6" s="27"/>
      <c r="G6" s="33" t="s">
        <v>3</v>
      </c>
      <c r="J6" s="30"/>
    </row>
    <row r="7" spans="1:10">
      <c r="A7" s="26" t="s">
        <v>76</v>
      </c>
      <c r="B7" s="27"/>
      <c r="C7" s="28"/>
      <c r="D7" s="34">
        <f>I14</f>
        <v>3630000</v>
      </c>
      <c r="F7" s="27"/>
      <c r="G7" s="4" t="s">
        <v>70</v>
      </c>
      <c r="J7" s="30"/>
    </row>
    <row r="8" spans="1:10">
      <c r="A8" s="35" t="s">
        <v>4</v>
      </c>
      <c r="C8" s="28"/>
      <c r="D8" s="34"/>
      <c r="F8" s="27"/>
      <c r="G8" s="4" t="s">
        <v>71</v>
      </c>
      <c r="H8" s="4" t="s">
        <v>72</v>
      </c>
      <c r="I8" s="4" t="s">
        <v>73</v>
      </c>
      <c r="J8" s="30"/>
    </row>
    <row r="9" spans="1:10">
      <c r="A9" s="35" t="s">
        <v>5</v>
      </c>
      <c r="C9" s="36">
        <f>C60*1.65%</f>
        <v>39599.999712899997</v>
      </c>
      <c r="D9" s="34"/>
      <c r="F9" s="27"/>
      <c r="G9" s="4">
        <v>3125</v>
      </c>
      <c r="H9" s="37">
        <f>I9/G9</f>
        <v>388.8</v>
      </c>
      <c r="I9" s="37">
        <v>1215000</v>
      </c>
      <c r="J9" s="30"/>
    </row>
    <row r="10" spans="1:10">
      <c r="A10" s="35" t="s">
        <v>6</v>
      </c>
      <c r="C10" s="36">
        <f>D7*1%</f>
        <v>36300</v>
      </c>
      <c r="D10" s="34"/>
      <c r="E10" s="38"/>
      <c r="F10" s="27"/>
      <c r="G10" s="4">
        <v>3048</v>
      </c>
      <c r="H10" s="37">
        <f t="shared" ref="H10:H11" si="0">I10/G10</f>
        <v>385.498687664042</v>
      </c>
      <c r="I10" s="37">
        <v>1175000</v>
      </c>
      <c r="J10" s="30"/>
    </row>
    <row r="11" spans="1:10" ht="15" customHeight="1">
      <c r="A11" s="35" t="s">
        <v>7</v>
      </c>
      <c r="C11" s="36">
        <f>D7*0.33%</f>
        <v>11979</v>
      </c>
      <c r="D11" s="34">
        <f>C9+C10+C11</f>
        <v>87878.999712899997</v>
      </c>
      <c r="G11" s="43">
        <v>3125</v>
      </c>
      <c r="H11" s="136">
        <f t="shared" si="0"/>
        <v>396.8</v>
      </c>
      <c r="I11" s="136">
        <v>1240000</v>
      </c>
      <c r="J11" s="30"/>
    </row>
    <row r="12" spans="1:10">
      <c r="A12" s="35"/>
      <c r="C12" s="4"/>
      <c r="D12" s="4"/>
      <c r="E12" s="34">
        <f>D7-D11</f>
        <v>3542121.0002871002</v>
      </c>
      <c r="G12" s="4">
        <f>SUM(G9:G11)</f>
        <v>9298</v>
      </c>
      <c r="H12" s="37">
        <f>I12/G12</f>
        <v>390.40653904065391</v>
      </c>
      <c r="I12" s="37">
        <f>SUM(I9:I11)</f>
        <v>3630000</v>
      </c>
      <c r="J12" s="30"/>
    </row>
    <row r="13" spans="1:10">
      <c r="A13" s="35"/>
      <c r="C13" s="28"/>
      <c r="D13" s="28"/>
      <c r="E13" s="34"/>
      <c r="G13" s="4" t="s">
        <v>74</v>
      </c>
      <c r="I13" s="37">
        <v>0</v>
      </c>
      <c r="J13" s="30"/>
    </row>
    <row r="14" spans="1:10">
      <c r="A14" s="26" t="s">
        <v>77</v>
      </c>
      <c r="B14" s="27"/>
      <c r="C14" s="28"/>
      <c r="D14" s="36"/>
      <c r="E14" s="34"/>
      <c r="G14" s="4" t="s">
        <v>73</v>
      </c>
      <c r="I14" s="37">
        <f>SUM(I12:I13)</f>
        <v>3630000</v>
      </c>
      <c r="J14" s="30"/>
    </row>
    <row r="15" spans="1:10">
      <c r="A15" s="35" t="s">
        <v>4</v>
      </c>
      <c r="C15" s="28"/>
      <c r="D15" s="36"/>
      <c r="E15" s="34"/>
      <c r="J15" s="30"/>
    </row>
    <row r="16" spans="1:10">
      <c r="A16" s="35" t="s">
        <v>8</v>
      </c>
      <c r="C16" s="36">
        <v>0</v>
      </c>
      <c r="D16" s="36"/>
      <c r="E16" s="34">
        <v>0</v>
      </c>
      <c r="J16" s="30"/>
    </row>
    <row r="17" spans="1:10">
      <c r="A17" s="35" t="s">
        <v>9</v>
      </c>
      <c r="C17" s="36">
        <f>D14*1.5%</f>
        <v>0</v>
      </c>
      <c r="D17" s="36"/>
      <c r="E17" s="36"/>
      <c r="J17" s="30"/>
    </row>
    <row r="18" spans="1:10">
      <c r="A18" s="35" t="s">
        <v>10</v>
      </c>
      <c r="C18" s="34">
        <v>0</v>
      </c>
      <c r="D18" s="34"/>
      <c r="E18" s="36"/>
      <c r="J18" s="30"/>
    </row>
    <row r="19" spans="1:10" s="27" customFormat="1">
      <c r="A19" s="35" t="s">
        <v>11</v>
      </c>
      <c r="B19" s="4"/>
      <c r="C19" s="34">
        <f>D14*0.0025</f>
        <v>0</v>
      </c>
      <c r="D19" s="34"/>
      <c r="E19" s="36"/>
      <c r="G19" s="4"/>
      <c r="H19" s="4"/>
      <c r="I19" s="4"/>
      <c r="J19" s="39"/>
    </row>
    <row r="20" spans="1:10" s="27" customFormat="1">
      <c r="A20" s="35" t="s">
        <v>12</v>
      </c>
      <c r="B20" s="4"/>
      <c r="C20" s="40">
        <v>0</v>
      </c>
      <c r="D20" s="40">
        <f>SUM(C17:C20)</f>
        <v>0</v>
      </c>
      <c r="E20" s="36"/>
      <c r="G20" s="4"/>
      <c r="H20" s="4"/>
      <c r="I20" s="4"/>
      <c r="J20" s="39"/>
    </row>
    <row r="21" spans="1:10" s="27" customFormat="1">
      <c r="A21" s="35"/>
      <c r="B21" s="4"/>
      <c r="C21" s="4"/>
      <c r="D21" s="4"/>
      <c r="E21" s="41">
        <f>D14-D20</f>
        <v>0</v>
      </c>
      <c r="G21" s="4"/>
      <c r="H21" s="4"/>
      <c r="I21" s="4"/>
      <c r="J21" s="39"/>
    </row>
    <row r="22" spans="1:10" s="43" customFormat="1">
      <c r="A22" s="26" t="s">
        <v>13</v>
      </c>
      <c r="B22" s="27"/>
      <c r="C22" s="42"/>
      <c r="D22" s="27"/>
      <c r="E22" s="34">
        <f>SUM(E12:E21)</f>
        <v>3542121.0002871002</v>
      </c>
      <c r="G22" s="4"/>
      <c r="H22" s="4"/>
      <c r="I22" s="4"/>
      <c r="J22" s="44"/>
    </row>
    <row r="23" spans="1:10" s="43" customFormat="1">
      <c r="A23" s="45"/>
      <c r="C23" s="46"/>
      <c r="D23" s="46"/>
      <c r="E23" s="40"/>
      <c r="G23" s="4"/>
      <c r="H23" s="4"/>
      <c r="I23" s="4"/>
      <c r="J23" s="44"/>
    </row>
    <row r="24" spans="1:10" s="43" customFormat="1">
      <c r="A24" s="31" t="s">
        <v>14</v>
      </c>
      <c r="D24" s="46"/>
      <c r="E24" s="40"/>
      <c r="G24" s="4"/>
      <c r="H24" s="4"/>
      <c r="I24" s="4"/>
      <c r="J24" s="44"/>
    </row>
    <row r="25" spans="1:10" s="48" customFormat="1">
      <c r="A25" s="47"/>
      <c r="D25" s="49"/>
      <c r="E25" s="50"/>
      <c r="G25" s="4"/>
      <c r="H25" s="4"/>
      <c r="I25" s="4"/>
      <c r="J25" s="51"/>
    </row>
    <row r="26" spans="1:10" s="48" customFormat="1">
      <c r="A26" s="26" t="s">
        <v>15</v>
      </c>
      <c r="B26" s="27"/>
      <c r="C26" s="46"/>
      <c r="D26" s="49"/>
      <c r="E26" s="50"/>
      <c r="G26" s="27"/>
      <c r="H26" s="27"/>
      <c r="J26" s="51"/>
    </row>
    <row r="27" spans="1:10" s="48" customFormat="1" ht="17">
      <c r="A27" s="47" t="s">
        <v>16</v>
      </c>
      <c r="B27" s="49">
        <v>950000</v>
      </c>
      <c r="D27" s="49"/>
      <c r="E27" s="50"/>
      <c r="J27" s="51"/>
    </row>
    <row r="28" spans="1:10" s="48" customFormat="1" ht="17">
      <c r="A28" s="47" t="s">
        <v>17</v>
      </c>
      <c r="B28" s="52">
        <v>0</v>
      </c>
      <c r="C28" s="49"/>
      <c r="D28" s="49"/>
      <c r="E28" s="50"/>
      <c r="G28" s="53" t="s">
        <v>18</v>
      </c>
      <c r="H28" s="54"/>
      <c r="I28" s="55"/>
      <c r="J28" s="51"/>
    </row>
    <row r="29" spans="1:10" s="48" customFormat="1" ht="17">
      <c r="A29" s="47" t="s">
        <v>19</v>
      </c>
      <c r="C29" s="49">
        <f>B27+B28</f>
        <v>950000</v>
      </c>
      <c r="D29" s="49"/>
      <c r="E29" s="50"/>
      <c r="G29" s="56"/>
      <c r="I29" s="57"/>
      <c r="J29" s="51"/>
    </row>
    <row r="30" spans="1:10" s="48" customFormat="1" ht="17">
      <c r="A30" s="47" t="s">
        <v>20</v>
      </c>
      <c r="C30" s="49">
        <v>38750</v>
      </c>
      <c r="D30" s="49"/>
      <c r="E30" s="50"/>
      <c r="G30" s="58" t="s">
        <v>21</v>
      </c>
      <c r="H30" s="4"/>
      <c r="I30" s="59">
        <f>D37</f>
        <v>1006275</v>
      </c>
      <c r="J30" s="51"/>
    </row>
    <row r="31" spans="1:10" s="48" customFormat="1" ht="17">
      <c r="A31" s="47" t="s">
        <v>22</v>
      </c>
      <c r="C31" s="49">
        <v>17525</v>
      </c>
      <c r="D31" s="49"/>
      <c r="E31" s="50"/>
      <c r="G31" s="56" t="s">
        <v>23</v>
      </c>
      <c r="H31" s="60">
        <f>C61-B28</f>
        <v>427358.01740000024</v>
      </c>
      <c r="I31" s="57"/>
      <c r="J31" s="51"/>
    </row>
    <row r="32" spans="1:10" s="48" customFormat="1" ht="17">
      <c r="A32" s="47" t="s">
        <v>24</v>
      </c>
      <c r="C32" s="49">
        <v>0</v>
      </c>
      <c r="D32" s="49"/>
      <c r="E32" s="50"/>
      <c r="G32" s="58" t="s">
        <v>25</v>
      </c>
      <c r="H32" s="40">
        <f>B28</f>
        <v>0</v>
      </c>
      <c r="I32" s="61"/>
      <c r="J32" s="51"/>
    </row>
    <row r="33" spans="1:10" s="48" customFormat="1" ht="17">
      <c r="A33" s="47" t="s">
        <v>26</v>
      </c>
      <c r="C33" s="49">
        <v>0</v>
      </c>
      <c r="D33" s="49"/>
      <c r="E33" s="50"/>
      <c r="G33" s="58" t="s">
        <v>27</v>
      </c>
      <c r="H33" s="4"/>
      <c r="I33" s="61">
        <f>C61</f>
        <v>427358.01740000024</v>
      </c>
      <c r="J33" s="51"/>
    </row>
    <row r="34" spans="1:10" s="48" customFormat="1" ht="17">
      <c r="A34" s="47" t="s">
        <v>28</v>
      </c>
      <c r="C34" s="49">
        <v>0</v>
      </c>
      <c r="D34" s="49"/>
      <c r="E34" s="50"/>
      <c r="G34" s="62" t="s">
        <v>29</v>
      </c>
      <c r="H34" s="63"/>
      <c r="I34" s="64">
        <f>I30-I33</f>
        <v>578916.98259999976</v>
      </c>
      <c r="J34" s="51"/>
    </row>
    <row r="35" spans="1:10" s="67" customFormat="1" ht="18">
      <c r="A35" s="47" t="s">
        <v>30</v>
      </c>
      <c r="B35" s="48"/>
      <c r="C35" s="49">
        <v>0</v>
      </c>
      <c r="D35" s="65"/>
      <c r="E35" s="66"/>
      <c r="G35" s="68"/>
      <c r="H35" s="69"/>
      <c r="I35" s="70"/>
      <c r="J35" s="71"/>
    </row>
    <row r="36" spans="1:10" s="67" customFormat="1" ht="18">
      <c r="A36" s="47" t="s">
        <v>31</v>
      </c>
      <c r="B36" s="48"/>
      <c r="C36" s="49">
        <v>0</v>
      </c>
      <c r="D36" s="65"/>
      <c r="E36" s="66"/>
      <c r="G36" s="68"/>
      <c r="H36" s="69"/>
      <c r="I36" s="70"/>
      <c r="J36" s="71"/>
    </row>
    <row r="37" spans="1:10" s="48" customFormat="1" ht="18">
      <c r="A37" s="72"/>
      <c r="B37" s="73"/>
      <c r="C37" s="74"/>
      <c r="D37" s="75">
        <f>SUM(C27:C37)</f>
        <v>1006275</v>
      </c>
      <c r="E37" s="50"/>
      <c r="G37" s="58"/>
      <c r="H37" s="4"/>
      <c r="I37" s="76"/>
      <c r="J37" s="51"/>
    </row>
    <row r="38" spans="1:10" s="48" customFormat="1">
      <c r="A38" s="47"/>
      <c r="C38" s="49"/>
      <c r="D38" s="49"/>
      <c r="E38" s="50"/>
      <c r="G38" s="58"/>
      <c r="H38" s="4"/>
      <c r="I38" s="76"/>
      <c r="J38" s="51"/>
    </row>
    <row r="39" spans="1:10" s="48" customFormat="1">
      <c r="A39" s="47"/>
      <c r="G39" s="62" t="s">
        <v>32</v>
      </c>
      <c r="H39" s="63"/>
      <c r="I39" s="64">
        <f>D48</f>
        <v>1590507</v>
      </c>
      <c r="J39" s="51"/>
    </row>
    <row r="40" spans="1:10" s="48" customFormat="1">
      <c r="A40" s="77"/>
      <c r="G40" s="62"/>
      <c r="H40" s="63"/>
      <c r="I40" s="64"/>
      <c r="J40" s="51"/>
    </row>
    <row r="41" spans="1:10">
      <c r="A41" s="77"/>
      <c r="B41" s="49"/>
      <c r="E41" s="34"/>
      <c r="G41" s="58"/>
      <c r="I41" s="76"/>
      <c r="J41" s="30"/>
    </row>
    <row r="42" spans="1:10">
      <c r="A42" s="77"/>
      <c r="B42" s="49"/>
      <c r="C42" s="41"/>
      <c r="D42" s="36"/>
      <c r="E42" s="34"/>
      <c r="G42" s="58"/>
      <c r="I42" s="76"/>
      <c r="J42" s="30"/>
    </row>
    <row r="43" spans="1:10">
      <c r="A43" s="26" t="s">
        <v>33</v>
      </c>
      <c r="B43" s="27"/>
      <c r="C43" s="36"/>
      <c r="D43" s="36"/>
      <c r="E43" s="34"/>
      <c r="G43" s="62" t="s">
        <v>34</v>
      </c>
      <c r="H43" s="63"/>
      <c r="I43" s="64">
        <f>D52</f>
        <v>230576</v>
      </c>
      <c r="J43" s="30"/>
    </row>
    <row r="44" spans="1:10">
      <c r="A44" s="35" t="s">
        <v>75</v>
      </c>
      <c r="B44" s="34"/>
      <c r="C44" s="36">
        <f>1304060+76278</f>
        <v>1380338</v>
      </c>
      <c r="E44" s="135">
        <f>(C44)/G12</f>
        <v>148.45536674553668</v>
      </c>
      <c r="G44" s="80"/>
      <c r="H44" s="27"/>
      <c r="I44" s="81"/>
      <c r="J44" s="30"/>
    </row>
    <row r="45" spans="1:10">
      <c r="A45" s="35" t="s">
        <v>80</v>
      </c>
      <c r="B45" s="34"/>
      <c r="C45" s="36">
        <v>75550</v>
      </c>
      <c r="E45" s="135"/>
      <c r="G45" s="80"/>
      <c r="H45" s="27"/>
      <c r="I45" s="81"/>
      <c r="J45" s="30"/>
    </row>
    <row r="46" spans="1:10">
      <c r="A46" s="35" t="s">
        <v>81</v>
      </c>
      <c r="C46" s="36">
        <f>134619</f>
        <v>134619</v>
      </c>
      <c r="E46" s="79"/>
      <c r="G46" s="80"/>
      <c r="H46" s="27"/>
      <c r="I46" s="81"/>
      <c r="J46" s="30"/>
    </row>
    <row r="47" spans="1:10">
      <c r="A47" s="35"/>
      <c r="C47" s="36"/>
      <c r="E47" s="82"/>
      <c r="G47" s="58"/>
      <c r="I47" s="76"/>
      <c r="J47" s="30"/>
    </row>
    <row r="48" spans="1:10">
      <c r="A48" s="35"/>
      <c r="C48" s="4"/>
      <c r="D48" s="75">
        <f>SUM(C44:C47)</f>
        <v>1590507</v>
      </c>
      <c r="E48" s="34"/>
      <c r="G48" s="58" t="s">
        <v>35</v>
      </c>
      <c r="I48" s="59">
        <f>I34+I39+I43</f>
        <v>2399999.9825999998</v>
      </c>
      <c r="J48" s="30"/>
    </row>
    <row r="49" spans="1:10">
      <c r="A49" s="35"/>
      <c r="C49" s="41"/>
      <c r="D49" s="36"/>
      <c r="E49" s="34"/>
      <c r="G49" s="83"/>
      <c r="H49" s="84"/>
      <c r="I49" s="85"/>
      <c r="J49" s="30"/>
    </row>
    <row r="50" spans="1:10">
      <c r="A50" s="26" t="s">
        <v>36</v>
      </c>
      <c r="B50" s="27"/>
      <c r="C50" s="36"/>
      <c r="D50" s="86"/>
      <c r="E50" s="34"/>
      <c r="J50" s="30"/>
    </row>
    <row r="51" spans="1:10">
      <c r="A51" s="35" t="s">
        <v>79</v>
      </c>
      <c r="C51" s="36">
        <f>18000+30700+18000</f>
        <v>66700</v>
      </c>
      <c r="D51" s="36"/>
      <c r="E51" s="34"/>
      <c r="J51" s="30"/>
    </row>
    <row r="52" spans="1:10">
      <c r="A52" s="35" t="s">
        <v>78</v>
      </c>
      <c r="C52" s="40">
        <v>163876</v>
      </c>
      <c r="D52" s="87">
        <f>SUM(C51:C52)</f>
        <v>230576</v>
      </c>
      <c r="E52" s="40"/>
      <c r="J52" s="30"/>
    </row>
    <row r="53" spans="1:10" s="27" customFormat="1">
      <c r="A53" s="26" t="s">
        <v>38</v>
      </c>
      <c r="C53" s="42"/>
      <c r="E53" s="36">
        <f>SUM(D25:D52)</f>
        <v>2827358</v>
      </c>
      <c r="J53" s="39"/>
    </row>
    <row r="54" spans="1:10">
      <c r="A54" s="35"/>
      <c r="C54" s="28"/>
      <c r="D54" s="28"/>
      <c r="J54" s="30"/>
    </row>
    <row r="55" spans="1:10" s="27" customFormat="1">
      <c r="A55" s="26" t="s">
        <v>39</v>
      </c>
      <c r="C55" s="42"/>
      <c r="E55" s="34">
        <f>E22-E53</f>
        <v>714763.00028710021</v>
      </c>
      <c r="J55" s="39"/>
    </row>
    <row r="56" spans="1:10" s="27" customFormat="1">
      <c r="A56" s="26"/>
      <c r="C56" s="42"/>
      <c r="E56" s="34"/>
      <c r="J56" s="39"/>
    </row>
    <row r="57" spans="1:10" s="27" customFormat="1" ht="17" thickBot="1">
      <c r="A57" s="26" t="s">
        <v>40</v>
      </c>
      <c r="C57" s="88">
        <f>SUM(E55/E53)</f>
        <v>0.25280243969355853</v>
      </c>
      <c r="J57" s="39"/>
    </row>
    <row r="58" spans="1:10" s="27" customFormat="1">
      <c r="A58" s="26" t="s">
        <v>41</v>
      </c>
      <c r="C58" s="88">
        <f>E55/E5</f>
        <v>0.19690440779258958</v>
      </c>
      <c r="G58" s="89" t="s">
        <v>42</v>
      </c>
      <c r="H58" s="90">
        <f>C61</f>
        <v>427358.01740000024</v>
      </c>
      <c r="I58" s="91"/>
      <c r="J58" s="39"/>
    </row>
    <row r="59" spans="1:10">
      <c r="A59" s="35"/>
      <c r="C59" s="28"/>
      <c r="D59" s="4"/>
      <c r="G59" s="35" t="s">
        <v>43</v>
      </c>
      <c r="H59" s="92">
        <f>D7*0.7-C60</f>
        <v>141000.01740000024</v>
      </c>
      <c r="I59" s="137">
        <f>(C60+H59+I66)/D7</f>
        <v>0.70206611570247934</v>
      </c>
      <c r="J59" s="30"/>
    </row>
    <row r="60" spans="1:10" s="27" customFormat="1">
      <c r="A60" s="26" t="s">
        <v>44</v>
      </c>
      <c r="C60" s="86">
        <f>D7*66.115702%</f>
        <v>2399999.9825999998</v>
      </c>
      <c r="G60" s="93" t="s">
        <v>45</v>
      </c>
      <c r="H60" s="94">
        <f>H58-H59</f>
        <v>286358</v>
      </c>
      <c r="I60" s="39"/>
      <c r="J60" s="39"/>
    </row>
    <row r="61" spans="1:10" s="27" customFormat="1">
      <c r="A61" s="26" t="s">
        <v>46</v>
      </c>
      <c r="C61" s="95">
        <f>E53-C60</f>
        <v>427358.01740000024</v>
      </c>
      <c r="G61" s="26"/>
      <c r="H61" s="138">
        <f>H60/E53</f>
        <v>0.10128112534740914</v>
      </c>
      <c r="I61" s="39"/>
      <c r="J61" s="39"/>
    </row>
    <row r="62" spans="1:10" s="27" customFormat="1">
      <c r="A62" s="26" t="s">
        <v>47</v>
      </c>
      <c r="C62" s="96">
        <f>SUM(I48/(D37+B28+D48+D52))</f>
        <v>0.84884898997580061</v>
      </c>
      <c r="G62" s="26"/>
      <c r="I62" s="97"/>
      <c r="J62" s="39"/>
    </row>
    <row r="63" spans="1:10" s="27" customFormat="1">
      <c r="A63" s="26" t="s">
        <v>48</v>
      </c>
      <c r="C63" s="96">
        <f>C60/E5</f>
        <v>0.66115701999999998</v>
      </c>
      <c r="G63" s="26"/>
      <c r="H63" s="98"/>
      <c r="I63" s="39"/>
      <c r="J63" s="39"/>
    </row>
    <row r="64" spans="1:10" s="27" customFormat="1">
      <c r="A64" s="26" t="s">
        <v>49</v>
      </c>
      <c r="C64" s="96">
        <f>SUM(I48/(D37-B28+D48+D52))</f>
        <v>0.84884898997580061</v>
      </c>
      <c r="G64" s="35" t="s">
        <v>82</v>
      </c>
      <c r="H64" s="133">
        <f>SUM(I64:I66)</f>
        <v>62760.006264000091</v>
      </c>
      <c r="I64" s="132">
        <f>((D7*0.7-C60)*24%*1.5)</f>
        <v>50760.006264000091</v>
      </c>
      <c r="J64" s="39"/>
    </row>
    <row r="65" spans="1:10" s="27" customFormat="1">
      <c r="A65" s="26"/>
      <c r="C65" s="96"/>
      <c r="G65" s="26"/>
      <c r="H65" s="98"/>
      <c r="I65" s="132">
        <f>(((H59-(D7*0.7-C60))+I66)*0.4*1.5)</f>
        <v>4500</v>
      </c>
      <c r="J65" s="39"/>
    </row>
    <row r="66" spans="1:10">
      <c r="A66" s="99" t="s">
        <v>50</v>
      </c>
      <c r="C66" s="28"/>
      <c r="D66" s="28"/>
      <c r="F66" s="28"/>
      <c r="G66" s="26"/>
      <c r="I66" s="132">
        <v>7500</v>
      </c>
      <c r="J66" s="30"/>
    </row>
    <row r="67" spans="1:10">
      <c r="A67" s="100" t="s">
        <v>51</v>
      </c>
      <c r="B67" s="101"/>
      <c r="C67" s="102">
        <v>0</v>
      </c>
      <c r="D67" s="4"/>
      <c r="F67" s="28"/>
      <c r="G67" s="35" t="s">
        <v>39</v>
      </c>
      <c r="H67" s="103">
        <f>E55</f>
        <v>714763.00028710021</v>
      </c>
      <c r="I67" s="30"/>
      <c r="J67" s="30"/>
    </row>
    <row r="68" spans="1:10">
      <c r="A68" s="83" t="s">
        <v>52</v>
      </c>
      <c r="B68" s="84"/>
      <c r="C68" s="104">
        <f>C67/C60</f>
        <v>0</v>
      </c>
      <c r="D68" s="4"/>
      <c r="F68" s="28"/>
      <c r="G68" s="35" t="s">
        <v>53</v>
      </c>
      <c r="H68" s="103">
        <f>H64</f>
        <v>62760.006264000091</v>
      </c>
      <c r="I68" s="30"/>
      <c r="J68" s="30"/>
    </row>
    <row r="69" spans="1:10">
      <c r="A69" s="35"/>
      <c r="C69" s="28"/>
      <c r="D69" s="28"/>
      <c r="F69" s="28"/>
      <c r="G69" s="35"/>
      <c r="H69" s="105"/>
      <c r="I69" s="30"/>
      <c r="J69" s="30"/>
    </row>
    <row r="70" spans="1:10">
      <c r="A70" s="99" t="s">
        <v>54</v>
      </c>
      <c r="C70" s="28"/>
      <c r="D70" s="28"/>
      <c r="F70" s="28"/>
      <c r="G70" s="35" t="s">
        <v>55</v>
      </c>
      <c r="H70" s="103">
        <f>H67-H68</f>
        <v>652002.99402310012</v>
      </c>
      <c r="I70" s="30"/>
      <c r="J70" s="30"/>
    </row>
    <row r="71" spans="1:10">
      <c r="A71" s="100" t="s">
        <v>56</v>
      </c>
      <c r="B71" s="101"/>
      <c r="C71" s="106">
        <v>0</v>
      </c>
      <c r="D71" s="102" t="s">
        <v>57</v>
      </c>
      <c r="F71" s="28"/>
      <c r="G71" s="107"/>
      <c r="H71" s="108"/>
      <c r="I71" s="30"/>
      <c r="J71" s="30"/>
    </row>
    <row r="72" spans="1:10">
      <c r="A72" s="58" t="s">
        <v>58</v>
      </c>
      <c r="C72" s="28">
        <v>12</v>
      </c>
      <c r="D72" s="109" t="s">
        <v>57</v>
      </c>
      <c r="G72" s="110" t="s">
        <v>68</v>
      </c>
      <c r="H72" s="134">
        <f>(H70/H60)/1.5</f>
        <v>1.5179204446254924</v>
      </c>
      <c r="I72" s="111"/>
      <c r="J72" s="30"/>
    </row>
    <row r="73" spans="1:10" ht="17" thickBot="1">
      <c r="A73" s="58" t="s">
        <v>59</v>
      </c>
      <c r="C73" s="28">
        <v>6</v>
      </c>
      <c r="D73" s="109" t="s">
        <v>57</v>
      </c>
      <c r="G73" s="112" t="s">
        <v>60</v>
      </c>
      <c r="H73" s="113">
        <f>(E55/H58)/1.5</f>
        <v>1.1150104770634555</v>
      </c>
      <c r="I73" s="114"/>
      <c r="J73" s="30"/>
    </row>
    <row r="74" spans="1:10">
      <c r="A74" s="83" t="s">
        <v>61</v>
      </c>
      <c r="B74" s="84"/>
      <c r="C74" s="115">
        <f>SUM(C71:C73)</f>
        <v>18</v>
      </c>
      <c r="D74" s="116" t="s">
        <v>57</v>
      </c>
      <c r="G74" s="28"/>
      <c r="H74" s="28"/>
      <c r="J74" s="30"/>
    </row>
    <row r="75" spans="1:10">
      <c r="A75" s="35"/>
      <c r="C75" s="28"/>
      <c r="D75" s="28"/>
      <c r="G75" s="28"/>
      <c r="H75" s="28"/>
      <c r="J75" s="30"/>
    </row>
    <row r="76" spans="1:10">
      <c r="A76" s="99" t="s">
        <v>62</v>
      </c>
      <c r="C76" s="28"/>
      <c r="D76" s="28"/>
      <c r="G76" s="28"/>
      <c r="H76" s="28"/>
      <c r="J76" s="30"/>
    </row>
    <row r="77" spans="1:10">
      <c r="A77" s="117"/>
      <c r="B77" s="118"/>
      <c r="C77" s="119" t="s">
        <v>63</v>
      </c>
      <c r="D77" s="120" t="s">
        <v>64</v>
      </c>
      <c r="E77" s="121" t="s">
        <v>37</v>
      </c>
      <c r="F77" s="101"/>
      <c r="G77" s="102"/>
      <c r="H77" s="28"/>
      <c r="J77" s="30"/>
    </row>
    <row r="78" spans="1:10">
      <c r="A78" s="58" t="s">
        <v>65</v>
      </c>
      <c r="C78" s="122">
        <v>12</v>
      </c>
      <c r="D78" s="28">
        <f>I34</f>
        <v>578916.98259999976</v>
      </c>
      <c r="E78" s="123">
        <v>7.3499999999999996E-2</v>
      </c>
      <c r="F78" s="124">
        <v>1</v>
      </c>
      <c r="G78" s="125">
        <f>C78/12*D78*E78*F78</f>
        <v>42550.398221099982</v>
      </c>
      <c r="H78" s="28"/>
      <c r="J78" s="30"/>
    </row>
    <row r="79" spans="1:10">
      <c r="A79" s="58" t="s">
        <v>66</v>
      </c>
      <c r="C79" s="122">
        <v>12</v>
      </c>
      <c r="D79" s="28">
        <f>I39</f>
        <v>1590507</v>
      </c>
      <c r="E79" s="123">
        <v>7.3499999999999996E-2</v>
      </c>
      <c r="F79" s="124">
        <v>0.5</v>
      </c>
      <c r="G79" s="125">
        <f>C79/12*D79*E79*F79</f>
        <v>58451.132249999995</v>
      </c>
      <c r="H79" s="28"/>
      <c r="J79" s="30"/>
    </row>
    <row r="80" spans="1:10">
      <c r="A80" s="58" t="s">
        <v>59</v>
      </c>
      <c r="C80" s="122">
        <v>6</v>
      </c>
      <c r="D80" s="28">
        <f>I48</f>
        <v>2399999.9825999998</v>
      </c>
      <c r="E80" s="123">
        <v>7.3499999999999996E-2</v>
      </c>
      <c r="F80" s="124">
        <v>0.66</v>
      </c>
      <c r="G80" s="125">
        <f>C80/12*D80*E80*F80</f>
        <v>58211.999577962997</v>
      </c>
      <c r="H80" s="28"/>
      <c r="J80" s="30"/>
    </row>
    <row r="81" spans="1:10" ht="17" thickBot="1">
      <c r="A81" s="58" t="s">
        <v>67</v>
      </c>
      <c r="C81" s="28"/>
      <c r="D81" s="28"/>
      <c r="G81" s="126">
        <f>SUM(G78:G80)</f>
        <v>159213.53004906297</v>
      </c>
      <c r="H81" s="28"/>
      <c r="J81" s="30"/>
    </row>
    <row r="82" spans="1:10" ht="17" thickTop="1">
      <c r="A82" s="83"/>
      <c r="B82" s="84"/>
      <c r="C82" s="115"/>
      <c r="D82" s="115"/>
      <c r="E82" s="84"/>
      <c r="F82" s="84"/>
      <c r="G82" s="127"/>
      <c r="H82" s="28"/>
      <c r="J82" s="30"/>
    </row>
    <row r="83" spans="1:10" ht="17" thickBot="1">
      <c r="A83" s="128"/>
      <c r="B83" s="129"/>
      <c r="C83" s="130"/>
      <c r="D83" s="130"/>
      <c r="E83" s="129"/>
      <c r="F83" s="129"/>
      <c r="G83" s="130"/>
      <c r="H83" s="130"/>
      <c r="I83" s="129"/>
      <c r="J83" s="131"/>
    </row>
    <row r="84" spans="1:10">
      <c r="C84" s="28"/>
      <c r="D84" s="28"/>
    </row>
  </sheetData>
  <pageMargins left="0.32" right="0.17000000000000004" top="0.29000000000000004" bottom="0.42" header="0.18000000000000002" footer="0.25"/>
  <pageSetup paperSize="9" scale="57" orientation="portrait"/>
  <extLst>
    <ext xmlns:mx="http://schemas.microsoft.com/office/mac/excel/2008/main" uri="{64002731-A6B0-56B0-2670-7721B7C09600}">
      <mx:PLV Mode="0" OnePage="0" WScale="64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BF33C-59DE-734F-842A-E8E5AA2D2B91}">
  <dimension ref="A1:C53"/>
  <sheetViews>
    <sheetView showGridLines="0" workbookViewId="0">
      <selection activeCell="C56" sqref="C56"/>
    </sheetView>
  </sheetViews>
  <sheetFormatPr baseColWidth="10" defaultRowHeight="13"/>
  <cols>
    <col min="1" max="1" width="2.6640625" customWidth="1"/>
    <col min="2" max="2" width="29.5" customWidth="1"/>
    <col min="3" max="3" width="79" style="294" bestFit="1" customWidth="1"/>
  </cols>
  <sheetData>
    <row r="1" spans="1:3">
      <c r="A1" t="s">
        <v>144</v>
      </c>
    </row>
    <row r="3" spans="1:3">
      <c r="B3" s="313"/>
      <c r="C3" s="313"/>
    </row>
    <row r="4" spans="1:3">
      <c r="B4" s="313"/>
      <c r="C4" s="313"/>
    </row>
    <row r="5" spans="1:3">
      <c r="B5" s="313"/>
      <c r="C5" s="313"/>
    </row>
    <row r="6" spans="1:3">
      <c r="B6" s="313"/>
      <c r="C6" s="313"/>
    </row>
    <row r="7" spans="1:3">
      <c r="B7" s="313"/>
      <c r="C7" s="313"/>
    </row>
    <row r="8" spans="1:3">
      <c r="C8"/>
    </row>
    <row r="9" spans="1:3">
      <c r="C9"/>
    </row>
    <row r="10" spans="1:3">
      <c r="C10"/>
    </row>
    <row r="11" spans="1:3">
      <c r="C11"/>
    </row>
    <row r="12" spans="1:3">
      <c r="C12"/>
    </row>
    <row r="13" spans="1:3">
      <c r="C13"/>
    </row>
    <row r="14" spans="1:3">
      <c r="B14" s="314" t="s">
        <v>143</v>
      </c>
      <c r="C14" s="314"/>
    </row>
    <row r="15" spans="1:3">
      <c r="B15" s="296"/>
      <c r="C15" s="296"/>
    </row>
    <row r="16" spans="1:3" ht="14" thickBot="1">
      <c r="B16" s="296"/>
      <c r="C16" s="297"/>
    </row>
    <row r="17" spans="2:3">
      <c r="B17" s="298" t="s">
        <v>116</v>
      </c>
      <c r="C17" s="299"/>
    </row>
    <row r="18" spans="2:3" ht="7" customHeight="1">
      <c r="B18" s="300"/>
      <c r="C18" s="301"/>
    </row>
    <row r="19" spans="2:3">
      <c r="B19" s="300" t="s">
        <v>118</v>
      </c>
      <c r="C19" s="301">
        <f>'(A) Appraisal'!C4</f>
        <v>0</v>
      </c>
    </row>
    <row r="20" spans="2:3">
      <c r="B20" s="300" t="s">
        <v>119</v>
      </c>
      <c r="C20" s="302"/>
    </row>
    <row r="21" spans="2:3" ht="14" thickBot="1">
      <c r="B21" s="303" t="s">
        <v>120</v>
      </c>
      <c r="C21" s="304"/>
    </row>
    <row r="22" spans="2:3" ht="14" thickBot="1">
      <c r="B22" s="296"/>
      <c r="C22" s="297"/>
    </row>
    <row r="23" spans="2:3">
      <c r="B23" s="298" t="s">
        <v>121</v>
      </c>
      <c r="C23" s="299"/>
    </row>
    <row r="24" spans="2:3">
      <c r="B24" s="300"/>
      <c r="C24" s="301"/>
    </row>
    <row r="25" spans="2:3">
      <c r="B25" s="300" t="s">
        <v>122</v>
      </c>
      <c r="C25" s="301" t="s">
        <v>136</v>
      </c>
    </row>
    <row r="26" spans="2:3" ht="14" thickBot="1">
      <c r="B26" s="303" t="s">
        <v>123</v>
      </c>
      <c r="C26" s="305" t="s">
        <v>137</v>
      </c>
    </row>
    <row r="27" spans="2:3" ht="14" thickBot="1">
      <c r="B27" s="296"/>
      <c r="C27" s="297"/>
    </row>
    <row r="28" spans="2:3">
      <c r="B28" s="298" t="s">
        <v>125</v>
      </c>
      <c r="C28" s="299"/>
    </row>
    <row r="29" spans="2:3" ht="7" customHeight="1">
      <c r="B29" s="300"/>
      <c r="C29" s="301"/>
    </row>
    <row r="30" spans="2:3">
      <c r="B30" s="300" t="s">
        <v>126</v>
      </c>
      <c r="C30" s="301">
        <f>'(A) Appraisal'!B29</f>
        <v>0</v>
      </c>
    </row>
    <row r="31" spans="2:3">
      <c r="B31" s="300" t="s">
        <v>128</v>
      </c>
      <c r="C31" s="301">
        <f>'(A) Appraisal'!D39</f>
        <v>0</v>
      </c>
    </row>
    <row r="32" spans="2:3">
      <c r="B32" s="300" t="s">
        <v>129</v>
      </c>
      <c r="C32" s="301">
        <f>'(A) Appraisal'!D50</f>
        <v>0</v>
      </c>
    </row>
    <row r="33" spans="2:3">
      <c r="B33" s="300" t="s">
        <v>133</v>
      </c>
      <c r="C33" s="301">
        <f>'(A) Appraisal'!E55</f>
        <v>0</v>
      </c>
    </row>
    <row r="34" spans="2:3">
      <c r="B34" s="300" t="s">
        <v>73</v>
      </c>
      <c r="C34" s="301">
        <f>'(A) Appraisal'!E7</f>
        <v>0</v>
      </c>
    </row>
    <row r="35" spans="2:3">
      <c r="B35" s="300" t="s">
        <v>39</v>
      </c>
      <c r="C35" s="301">
        <f>'(A) Appraisal'!E57</f>
        <v>0</v>
      </c>
    </row>
    <row r="36" spans="2:3">
      <c r="B36" s="300" t="s">
        <v>130</v>
      </c>
      <c r="C36" s="301" t="e">
        <f>'(A) Appraisal'!C60</f>
        <v>#DIV/0!</v>
      </c>
    </row>
    <row r="37" spans="2:3">
      <c r="B37" s="300" t="s">
        <v>127</v>
      </c>
      <c r="C37" s="301">
        <f>'(A) Appraisal'!C62</f>
        <v>0</v>
      </c>
    </row>
    <row r="38" spans="2:3">
      <c r="B38" s="300" t="s">
        <v>138</v>
      </c>
      <c r="C38" s="301">
        <f>'(A) Appraisal'!C76</f>
        <v>18</v>
      </c>
    </row>
    <row r="39" spans="2:3">
      <c r="B39" s="300" t="s">
        <v>37</v>
      </c>
      <c r="C39" s="301">
        <f>'(A) Appraisal'!C54</f>
        <v>0</v>
      </c>
    </row>
    <row r="40" spans="2:3">
      <c r="B40" s="300" t="s">
        <v>131</v>
      </c>
      <c r="C40" s="306" t="e">
        <f>'(A) Appraisal'!C65</f>
        <v>#DIV/0!</v>
      </c>
    </row>
    <row r="41" spans="2:3" ht="14" thickBot="1">
      <c r="B41" s="303" t="s">
        <v>132</v>
      </c>
      <c r="C41" s="307" t="e">
        <f>'(A) Appraisal'!C66</f>
        <v>#DIV/0!</v>
      </c>
    </row>
    <row r="42" spans="2:3" ht="14" thickBot="1">
      <c r="B42" s="296"/>
      <c r="C42" s="297"/>
    </row>
    <row r="43" spans="2:3">
      <c r="B43" s="298" t="s">
        <v>134</v>
      </c>
      <c r="C43" s="299"/>
    </row>
    <row r="44" spans="2:3" ht="7" customHeight="1">
      <c r="B44" s="300"/>
      <c r="C44" s="301"/>
    </row>
    <row r="45" spans="2:3">
      <c r="B45" s="300" t="s">
        <v>135</v>
      </c>
      <c r="C45" s="301" t="s">
        <v>139</v>
      </c>
    </row>
    <row r="46" spans="2:3" ht="14" thickBot="1">
      <c r="B46" s="303" t="s">
        <v>124</v>
      </c>
      <c r="C46" s="304"/>
    </row>
    <row r="47" spans="2:3" ht="14" thickBot="1">
      <c r="B47" s="296"/>
      <c r="C47" s="297"/>
    </row>
    <row r="48" spans="2:3">
      <c r="B48" s="298" t="s">
        <v>142</v>
      </c>
      <c r="C48" s="299"/>
    </row>
    <row r="49" spans="2:3" ht="7" customHeight="1">
      <c r="B49" s="300"/>
      <c r="C49" s="301"/>
    </row>
    <row r="50" spans="2:3">
      <c r="B50" s="300" t="s">
        <v>117</v>
      </c>
      <c r="C50" s="302"/>
    </row>
    <row r="51" spans="2:3">
      <c r="B51" s="300" t="s">
        <v>140</v>
      </c>
      <c r="C51" s="302"/>
    </row>
    <row r="52" spans="2:3" ht="14" thickBot="1">
      <c r="B52" s="303" t="s">
        <v>141</v>
      </c>
      <c r="C52" s="304"/>
    </row>
    <row r="53" spans="2:3">
      <c r="B53" s="296"/>
      <c r="C53" s="297"/>
    </row>
  </sheetData>
  <mergeCells count="2">
    <mergeCell ref="B3:C7"/>
    <mergeCell ref="B14:C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6"/>
  <sheetViews>
    <sheetView showGridLines="0" tabSelected="1" zoomScale="89" zoomScaleNormal="150" zoomScalePageLayoutView="150" workbookViewId="0">
      <selection activeCell="B90" sqref="B90"/>
    </sheetView>
  </sheetViews>
  <sheetFormatPr baseColWidth="10" defaultColWidth="9.1640625" defaultRowHeight="16"/>
  <cols>
    <col min="1" max="1" width="44" style="139" customWidth="1"/>
    <col min="2" max="2" width="13" style="139" customWidth="1"/>
    <col min="3" max="3" width="15.6640625" style="140" bestFit="1" customWidth="1"/>
    <col min="4" max="4" width="14" style="140" customWidth="1"/>
    <col min="5" max="5" width="14.33203125" style="139" customWidth="1"/>
    <col min="6" max="6" width="6.33203125" style="139" customWidth="1"/>
    <col min="7" max="7" width="18.83203125" style="139" customWidth="1"/>
    <col min="8" max="8" width="15.6640625" style="139" customWidth="1"/>
    <col min="9" max="9" width="17.6640625" style="139" customWidth="1"/>
    <col min="10" max="10" width="2.83203125" style="139" customWidth="1"/>
    <col min="11" max="16384" width="9.1640625" style="139"/>
  </cols>
  <sheetData>
    <row r="1" spans="1:10" ht="21">
      <c r="A1" s="146" t="s">
        <v>103</v>
      </c>
      <c r="C1" s="284"/>
      <c r="H1" s="283" t="s">
        <v>114</v>
      </c>
      <c r="I1" s="283"/>
      <c r="J1" s="283"/>
    </row>
    <row r="2" spans="1:10" ht="17" thickBot="1"/>
    <row r="3" spans="1:10" ht="9.75" customHeight="1">
      <c r="A3" s="141"/>
      <c r="B3" s="142"/>
      <c r="C3" s="142"/>
      <c r="D3" s="142"/>
      <c r="E3" s="142"/>
      <c r="F3" s="142"/>
      <c r="G3" s="142"/>
      <c r="H3" s="142"/>
      <c r="I3" s="142"/>
      <c r="J3" s="143"/>
    </row>
    <row r="4" spans="1:10" ht="18.75" customHeight="1">
      <c r="A4" s="154" t="s">
        <v>112</v>
      </c>
      <c r="B4" s="144" t="s">
        <v>115</v>
      </c>
      <c r="C4" s="295"/>
      <c r="D4" s="276"/>
      <c r="E4" s="283"/>
      <c r="F4" s="293"/>
      <c r="H4" s="139" t="s">
        <v>113</v>
      </c>
      <c r="I4" s="312"/>
      <c r="J4" s="147"/>
    </row>
    <row r="5" spans="1:10" ht="13" customHeight="1" thickBot="1">
      <c r="A5" s="285" t="s">
        <v>102</v>
      </c>
      <c r="B5" s="286"/>
      <c r="C5" s="287"/>
      <c r="D5" s="288"/>
      <c r="E5" s="289"/>
      <c r="F5" s="290"/>
      <c r="G5" s="290"/>
      <c r="H5" s="290"/>
      <c r="I5" s="291"/>
      <c r="J5" s="292"/>
    </row>
    <row r="6" spans="1:10">
      <c r="A6" s="150"/>
      <c r="B6" s="151"/>
      <c r="C6" s="152"/>
      <c r="D6" s="152"/>
      <c r="E6" s="142"/>
      <c r="F6" s="153"/>
      <c r="G6" s="153"/>
      <c r="H6" s="153"/>
      <c r="I6" s="142"/>
      <c r="J6" s="143"/>
    </row>
    <row r="7" spans="1:10">
      <c r="A7" s="154" t="s">
        <v>2</v>
      </c>
      <c r="B7" s="146"/>
      <c r="C7" s="145"/>
      <c r="D7" s="145"/>
      <c r="E7" s="155">
        <f>D9</f>
        <v>0</v>
      </c>
      <c r="F7" s="146"/>
      <c r="G7" s="156" t="s">
        <v>111</v>
      </c>
      <c r="H7" s="157"/>
      <c r="I7" s="158"/>
      <c r="J7" s="147"/>
    </row>
    <row r="8" spans="1:10">
      <c r="A8" s="159"/>
      <c r="B8" s="160"/>
      <c r="C8" s="145"/>
      <c r="D8" s="145"/>
      <c r="F8" s="146"/>
      <c r="G8" s="161"/>
      <c r="H8" s="162"/>
      <c r="I8" s="163"/>
      <c r="J8" s="147"/>
    </row>
    <row r="9" spans="1:10">
      <c r="A9" s="154" t="s">
        <v>76</v>
      </c>
      <c r="B9" s="146"/>
      <c r="C9" s="145"/>
      <c r="D9" s="164">
        <f>I28</f>
        <v>0</v>
      </c>
      <c r="F9" s="146"/>
      <c r="G9" s="165"/>
      <c r="I9" s="166"/>
      <c r="J9" s="147"/>
    </row>
    <row r="10" spans="1:10">
      <c r="A10" s="167" t="s">
        <v>106</v>
      </c>
      <c r="C10" s="145"/>
      <c r="D10" s="164"/>
      <c r="F10" s="146"/>
      <c r="G10" s="168" t="s">
        <v>71</v>
      </c>
      <c r="H10" s="169" t="s">
        <v>72</v>
      </c>
      <c r="I10" s="170" t="s">
        <v>73</v>
      </c>
      <c r="J10" s="147"/>
    </row>
    <row r="11" spans="1:10">
      <c r="A11" s="167" t="s">
        <v>5</v>
      </c>
      <c r="C11" s="171">
        <f>C62*B91</f>
        <v>0</v>
      </c>
      <c r="D11" s="164"/>
      <c r="F11" s="146"/>
      <c r="G11" s="172">
        <v>0</v>
      </c>
      <c r="H11" s="173" t="e">
        <f>I11/G11</f>
        <v>#DIV/0!</v>
      </c>
      <c r="I11" s="174">
        <v>0</v>
      </c>
      <c r="J11" s="147"/>
    </row>
    <row r="12" spans="1:10">
      <c r="A12" s="167" t="s">
        <v>104</v>
      </c>
      <c r="C12" s="171">
        <f>D9*1%</f>
        <v>0</v>
      </c>
      <c r="D12" s="164"/>
      <c r="E12" s="175"/>
      <c r="F12" s="146"/>
      <c r="G12" s="172">
        <v>0</v>
      </c>
      <c r="H12" s="173" t="e">
        <f t="shared" ref="H12:H19" si="0">I12/G12</f>
        <v>#DIV/0!</v>
      </c>
      <c r="I12" s="174">
        <v>0</v>
      </c>
      <c r="J12" s="147"/>
    </row>
    <row r="13" spans="1:10" ht="15" customHeight="1">
      <c r="A13" s="167" t="s">
        <v>105</v>
      </c>
      <c r="C13" s="171">
        <f>D9*0.1%</f>
        <v>0</v>
      </c>
      <c r="D13" s="164">
        <f>C11+C12+C13</f>
        <v>0</v>
      </c>
      <c r="G13" s="172">
        <v>0</v>
      </c>
      <c r="H13" s="173" t="e">
        <f t="shared" si="0"/>
        <v>#DIV/0!</v>
      </c>
      <c r="I13" s="174">
        <v>0</v>
      </c>
      <c r="J13" s="147"/>
    </row>
    <row r="14" spans="1:10">
      <c r="A14" s="167"/>
      <c r="C14" s="139"/>
      <c r="D14" s="139"/>
      <c r="E14" s="164">
        <f>D9-D13</f>
        <v>0</v>
      </c>
      <c r="G14" s="172">
        <v>0</v>
      </c>
      <c r="H14" s="173" t="e">
        <f t="shared" si="0"/>
        <v>#DIV/0!</v>
      </c>
      <c r="I14" s="174">
        <v>0</v>
      </c>
      <c r="J14" s="147"/>
    </row>
    <row r="15" spans="1:10">
      <c r="A15" s="167"/>
      <c r="C15" s="145"/>
      <c r="D15" s="145"/>
      <c r="E15" s="164"/>
      <c r="G15" s="172">
        <v>0</v>
      </c>
      <c r="H15" s="173" t="e">
        <f t="shared" si="0"/>
        <v>#DIV/0!</v>
      </c>
      <c r="I15" s="174">
        <v>0</v>
      </c>
      <c r="J15" s="147"/>
    </row>
    <row r="16" spans="1:10">
      <c r="A16" s="154" t="s">
        <v>77</v>
      </c>
      <c r="B16" s="146"/>
      <c r="C16" s="145"/>
      <c r="D16" s="171"/>
      <c r="E16" s="164"/>
      <c r="G16" s="172">
        <v>0</v>
      </c>
      <c r="H16" s="173" t="e">
        <f t="shared" si="0"/>
        <v>#DIV/0!</v>
      </c>
      <c r="I16" s="174">
        <v>0</v>
      </c>
      <c r="J16" s="147"/>
    </row>
    <row r="17" spans="1:10">
      <c r="A17" s="167" t="s">
        <v>106</v>
      </c>
      <c r="C17" s="145"/>
      <c r="D17" s="171"/>
      <c r="E17" s="164"/>
      <c r="G17" s="172">
        <v>0</v>
      </c>
      <c r="H17" s="173" t="e">
        <f t="shared" si="0"/>
        <v>#DIV/0!</v>
      </c>
      <c r="I17" s="174">
        <v>0</v>
      </c>
      <c r="J17" s="147"/>
    </row>
    <row r="18" spans="1:10">
      <c r="A18" s="167" t="s">
        <v>8</v>
      </c>
      <c r="C18" s="171">
        <v>0</v>
      </c>
      <c r="D18" s="171"/>
      <c r="E18" s="164">
        <v>0</v>
      </c>
      <c r="G18" s="172">
        <v>0</v>
      </c>
      <c r="H18" s="173" t="e">
        <f t="shared" si="0"/>
        <v>#DIV/0!</v>
      </c>
      <c r="I18" s="174">
        <v>0</v>
      </c>
      <c r="J18" s="147"/>
    </row>
    <row r="19" spans="1:10">
      <c r="A19" s="167" t="s">
        <v>9</v>
      </c>
      <c r="C19" s="171">
        <f>D16*1.5%</f>
        <v>0</v>
      </c>
      <c r="D19" s="171"/>
      <c r="E19" s="171"/>
      <c r="G19" s="172">
        <v>0</v>
      </c>
      <c r="H19" s="173" t="e">
        <f t="shared" si="0"/>
        <v>#DIV/0!</v>
      </c>
      <c r="I19" s="174">
        <v>0</v>
      </c>
      <c r="J19" s="147"/>
    </row>
    <row r="20" spans="1:10">
      <c r="A20" s="167" t="s">
        <v>10</v>
      </c>
      <c r="C20" s="164">
        <v>0</v>
      </c>
      <c r="D20" s="164"/>
      <c r="E20" s="171"/>
      <c r="G20" s="172">
        <v>0</v>
      </c>
      <c r="H20" s="173" t="e">
        <f t="shared" ref="H20:H28" si="1">I20/G20</f>
        <v>#DIV/0!</v>
      </c>
      <c r="I20" s="174">
        <v>0</v>
      </c>
      <c r="J20" s="147"/>
    </row>
    <row r="21" spans="1:10" s="146" customFormat="1">
      <c r="A21" s="167" t="s">
        <v>11</v>
      </c>
      <c r="B21" s="139"/>
      <c r="C21" s="164">
        <f>D16*0.0025</f>
        <v>0</v>
      </c>
      <c r="D21" s="164"/>
      <c r="E21" s="171"/>
      <c r="G21" s="172">
        <v>0</v>
      </c>
      <c r="H21" s="173" t="e">
        <f t="shared" si="1"/>
        <v>#DIV/0!</v>
      </c>
      <c r="I21" s="174">
        <v>0</v>
      </c>
      <c r="J21" s="176"/>
    </row>
    <row r="22" spans="1:10" s="146" customFormat="1">
      <c r="A22" s="167" t="s">
        <v>12</v>
      </c>
      <c r="B22" s="139"/>
      <c r="C22" s="177">
        <v>0</v>
      </c>
      <c r="D22" s="177">
        <f>SUM(C19:C22)</f>
        <v>0</v>
      </c>
      <c r="E22" s="171"/>
      <c r="G22" s="172">
        <v>0</v>
      </c>
      <c r="H22" s="173" t="e">
        <f t="shared" si="1"/>
        <v>#DIV/0!</v>
      </c>
      <c r="I22" s="174">
        <v>0</v>
      </c>
      <c r="J22" s="176"/>
    </row>
    <row r="23" spans="1:10" s="146" customFormat="1">
      <c r="A23" s="167"/>
      <c r="B23" s="139"/>
      <c r="C23" s="139"/>
      <c r="D23" s="139"/>
      <c r="E23" s="178">
        <f>D16-D22</f>
        <v>0</v>
      </c>
      <c r="G23" s="172">
        <v>0</v>
      </c>
      <c r="H23" s="173" t="e">
        <f t="shared" si="1"/>
        <v>#DIV/0!</v>
      </c>
      <c r="I23" s="174">
        <v>0</v>
      </c>
      <c r="J23" s="176"/>
    </row>
    <row r="24" spans="1:10" s="180" customFormat="1">
      <c r="A24" s="154" t="s">
        <v>13</v>
      </c>
      <c r="B24" s="146"/>
      <c r="C24" s="179"/>
      <c r="D24" s="146"/>
      <c r="E24" s="164">
        <f>SUM(E14:E23)</f>
        <v>0</v>
      </c>
      <c r="G24" s="172">
        <v>0</v>
      </c>
      <c r="H24" s="173" t="e">
        <f t="shared" si="1"/>
        <v>#DIV/0!</v>
      </c>
      <c r="I24" s="174">
        <v>0</v>
      </c>
      <c r="J24" s="181"/>
    </row>
    <row r="25" spans="1:10" s="180" customFormat="1">
      <c r="A25" s="182"/>
      <c r="C25" s="183"/>
      <c r="D25" s="183"/>
      <c r="E25" s="177"/>
      <c r="G25" s="172">
        <v>0</v>
      </c>
      <c r="H25" s="173" t="e">
        <f t="shared" si="1"/>
        <v>#DIV/0!</v>
      </c>
      <c r="I25" s="174">
        <v>0</v>
      </c>
      <c r="J25" s="181"/>
    </row>
    <row r="26" spans="1:10" s="180" customFormat="1">
      <c r="A26" s="159" t="s">
        <v>14</v>
      </c>
      <c r="D26" s="183"/>
      <c r="E26" s="177"/>
      <c r="G26" s="172">
        <v>0</v>
      </c>
      <c r="H26" s="173" t="e">
        <f t="shared" si="1"/>
        <v>#DIV/0!</v>
      </c>
      <c r="I26" s="174">
        <v>0</v>
      </c>
      <c r="J26" s="181"/>
    </row>
    <row r="27" spans="1:10" s="185" customFormat="1">
      <c r="A27" s="184"/>
      <c r="D27" s="186"/>
      <c r="E27" s="187"/>
      <c r="G27" s="172">
        <v>0</v>
      </c>
      <c r="H27" s="173" t="e">
        <f t="shared" si="1"/>
        <v>#DIV/0!</v>
      </c>
      <c r="I27" s="174">
        <v>0</v>
      </c>
      <c r="J27" s="188"/>
    </row>
    <row r="28" spans="1:10" s="185" customFormat="1">
      <c r="A28" s="154" t="s">
        <v>15</v>
      </c>
      <c r="B28" s="146"/>
      <c r="C28" s="183"/>
      <c r="D28" s="186"/>
      <c r="E28" s="187"/>
      <c r="G28" s="189">
        <f>SUM(G11:G27)</f>
        <v>0</v>
      </c>
      <c r="H28" s="190" t="e">
        <f t="shared" si="1"/>
        <v>#DIV/0!</v>
      </c>
      <c r="I28" s="191">
        <f>SUM(I11:I27)</f>
        <v>0</v>
      </c>
      <c r="J28" s="188"/>
    </row>
    <row r="29" spans="1:10" s="185" customFormat="1" ht="17" customHeight="1">
      <c r="A29" s="184" t="s">
        <v>16</v>
      </c>
      <c r="B29" s="192">
        <v>0</v>
      </c>
      <c r="D29" s="186"/>
      <c r="E29" s="187"/>
      <c r="J29" s="188"/>
    </row>
    <row r="30" spans="1:10" s="185" customFormat="1" ht="17" customHeight="1">
      <c r="A30" s="184" t="s">
        <v>17</v>
      </c>
      <c r="B30" s="193">
        <v>0</v>
      </c>
      <c r="C30" s="186"/>
      <c r="D30" s="186"/>
      <c r="E30" s="187"/>
      <c r="G30" s="194" t="s">
        <v>18</v>
      </c>
      <c r="H30" s="195"/>
      <c r="I30" s="196"/>
      <c r="J30" s="188"/>
    </row>
    <row r="31" spans="1:10" s="185" customFormat="1" ht="17" customHeight="1">
      <c r="A31" s="184" t="s">
        <v>19</v>
      </c>
      <c r="C31" s="186">
        <f>B29+B30</f>
        <v>0</v>
      </c>
      <c r="D31" s="186"/>
      <c r="E31" s="187"/>
      <c r="G31" s="197"/>
      <c r="I31" s="198"/>
      <c r="J31" s="188"/>
    </row>
    <row r="32" spans="1:10" s="185" customFormat="1" ht="17" customHeight="1">
      <c r="A32" s="184" t="s">
        <v>20</v>
      </c>
      <c r="C32" s="277">
        <v>0</v>
      </c>
      <c r="D32" s="186"/>
      <c r="E32" s="187"/>
      <c r="G32" s="165" t="s">
        <v>21</v>
      </c>
      <c r="H32" s="139"/>
      <c r="I32" s="199">
        <f>D39</f>
        <v>0</v>
      </c>
      <c r="J32" s="188"/>
    </row>
    <row r="33" spans="1:10" s="185" customFormat="1" ht="17" customHeight="1">
      <c r="A33" s="216" t="s">
        <v>146</v>
      </c>
      <c r="C33" s="277">
        <v>0</v>
      </c>
      <c r="D33" s="186"/>
      <c r="E33" s="187"/>
      <c r="G33" s="197" t="s">
        <v>23</v>
      </c>
      <c r="H33" s="200">
        <f>C63-B30</f>
        <v>0</v>
      </c>
      <c r="I33" s="198"/>
      <c r="J33" s="188"/>
    </row>
    <row r="34" spans="1:10" s="185" customFormat="1" ht="17" customHeight="1">
      <c r="A34" s="184" t="s">
        <v>24</v>
      </c>
      <c r="C34" s="277">
        <v>0</v>
      </c>
      <c r="D34" s="186"/>
      <c r="E34" s="187"/>
      <c r="G34" s="165" t="s">
        <v>25</v>
      </c>
      <c r="H34" s="177">
        <f>B30</f>
        <v>0</v>
      </c>
      <c r="I34" s="201"/>
      <c r="J34" s="188"/>
    </row>
    <row r="35" spans="1:10" s="185" customFormat="1" ht="17" customHeight="1">
      <c r="A35" s="184" t="s">
        <v>98</v>
      </c>
      <c r="C35" s="277">
        <v>0</v>
      </c>
      <c r="D35" s="186"/>
      <c r="E35" s="187"/>
      <c r="G35" s="165" t="s">
        <v>27</v>
      </c>
      <c r="H35" s="139"/>
      <c r="I35" s="201">
        <f>C63</f>
        <v>0</v>
      </c>
      <c r="J35" s="188"/>
    </row>
    <row r="36" spans="1:10" s="185" customFormat="1" ht="17" customHeight="1">
      <c r="A36" s="184" t="s">
        <v>28</v>
      </c>
      <c r="C36" s="277">
        <v>0</v>
      </c>
      <c r="D36" s="186"/>
      <c r="E36" s="187"/>
      <c r="G36" s="202" t="s">
        <v>110</v>
      </c>
      <c r="H36" s="203"/>
      <c r="I36" s="204">
        <f>I32-I35</f>
        <v>0</v>
      </c>
      <c r="J36" s="188"/>
    </row>
    <row r="37" spans="1:10" s="207" customFormat="1" ht="17" customHeight="1">
      <c r="A37" s="184" t="s">
        <v>30</v>
      </c>
      <c r="B37" s="185"/>
      <c r="C37" s="277">
        <v>0</v>
      </c>
      <c r="D37" s="205"/>
      <c r="E37" s="206"/>
      <c r="G37" s="165" t="s">
        <v>147</v>
      </c>
      <c r="H37" s="139"/>
      <c r="I37" s="309" t="e">
        <f>I36/C31</f>
        <v>#DIV/0!</v>
      </c>
      <c r="J37" s="211"/>
    </row>
    <row r="38" spans="1:10" s="207" customFormat="1" ht="17" customHeight="1">
      <c r="A38" s="184" t="s">
        <v>107</v>
      </c>
      <c r="B38" s="185"/>
      <c r="C38" s="308">
        <f>C62*B90</f>
        <v>0</v>
      </c>
      <c r="D38" s="205"/>
      <c r="E38" s="206"/>
      <c r="G38" s="208"/>
      <c r="H38" s="209"/>
      <c r="I38" s="210"/>
      <c r="J38" s="211"/>
    </row>
    <row r="39" spans="1:10" s="185" customFormat="1" ht="18">
      <c r="A39" s="212"/>
      <c r="B39" s="213"/>
      <c r="C39" s="214"/>
      <c r="D39" s="215">
        <f>SUM(C29:C39)</f>
        <v>0</v>
      </c>
      <c r="E39" s="187"/>
      <c r="G39" s="165"/>
      <c r="H39" s="139"/>
      <c r="I39" s="166"/>
      <c r="J39" s="188"/>
    </row>
    <row r="40" spans="1:10" s="185" customFormat="1">
      <c r="A40" s="184"/>
      <c r="C40" s="186"/>
      <c r="D40" s="186"/>
      <c r="E40" s="187"/>
      <c r="G40" s="165"/>
      <c r="H40" s="139"/>
      <c r="I40" s="166"/>
      <c r="J40" s="188"/>
    </row>
    <row r="41" spans="1:10" s="185" customFormat="1">
      <c r="A41" s="184"/>
      <c r="G41" s="202" t="s">
        <v>109</v>
      </c>
      <c r="H41" s="203"/>
      <c r="I41" s="204">
        <f>D50</f>
        <v>0</v>
      </c>
      <c r="J41" s="188"/>
    </row>
    <row r="42" spans="1:10" s="185" customFormat="1">
      <c r="G42" s="165"/>
      <c r="H42" s="139"/>
      <c r="I42" s="199"/>
      <c r="J42" s="188"/>
    </row>
    <row r="43" spans="1:10" ht="17">
      <c r="A43" s="154" t="s">
        <v>33</v>
      </c>
      <c r="B43" s="311" t="s">
        <v>148</v>
      </c>
      <c r="E43" s="164"/>
      <c r="G43" s="165"/>
      <c r="I43" s="166"/>
      <c r="J43" s="147"/>
    </row>
    <row r="44" spans="1:10" ht="17">
      <c r="A44" s="216" t="s">
        <v>99</v>
      </c>
      <c r="B44" s="310" t="e">
        <f>C44/C44</f>
        <v>#DIV/0!</v>
      </c>
      <c r="C44" s="278">
        <v>0</v>
      </c>
      <c r="D44" s="218" t="s">
        <v>72</v>
      </c>
      <c r="E44" s="164" t="e">
        <f>C44/G28</f>
        <v>#DIV/0!</v>
      </c>
      <c r="G44" s="165"/>
      <c r="I44" s="166"/>
      <c r="J44" s="147"/>
    </row>
    <row r="45" spans="1:10">
      <c r="A45" s="167" t="s">
        <v>100</v>
      </c>
      <c r="B45" s="262" t="e">
        <f>C45/C44</f>
        <v>#DIV/0!</v>
      </c>
      <c r="C45" s="278">
        <v>0</v>
      </c>
      <c r="D45" s="218" t="s">
        <v>72</v>
      </c>
      <c r="E45" s="219" t="e">
        <f>(C44+C45)/G28</f>
        <v>#DIV/0!</v>
      </c>
      <c r="G45" s="202" t="s">
        <v>108</v>
      </c>
      <c r="H45" s="203"/>
      <c r="I45" s="204">
        <f>D54</f>
        <v>0</v>
      </c>
      <c r="J45" s="147"/>
    </row>
    <row r="46" spans="1:10">
      <c r="A46" s="167" t="s">
        <v>145</v>
      </c>
      <c r="B46" s="262" t="e">
        <f>C46/C44</f>
        <v>#DIV/0!</v>
      </c>
      <c r="C46" s="278">
        <v>0</v>
      </c>
      <c r="E46" s="220"/>
      <c r="G46" s="221"/>
      <c r="H46" s="146"/>
      <c r="I46" s="222"/>
      <c r="J46" s="147"/>
    </row>
    <row r="47" spans="1:10">
      <c r="A47" s="167" t="s">
        <v>101</v>
      </c>
      <c r="B47" s="262" t="e">
        <f>C47/C44</f>
        <v>#DIV/0!</v>
      </c>
      <c r="C47" s="278">
        <v>0</v>
      </c>
      <c r="E47" s="220"/>
      <c r="G47" s="221"/>
      <c r="H47" s="146"/>
      <c r="I47" s="222"/>
      <c r="J47" s="147"/>
    </row>
    <row r="48" spans="1:10">
      <c r="A48" s="167" t="s">
        <v>149</v>
      </c>
      <c r="B48" s="262" t="e">
        <f>C48/C44</f>
        <v>#DIV/0!</v>
      </c>
      <c r="C48" s="278">
        <v>0</v>
      </c>
      <c r="E48" s="223"/>
      <c r="G48" s="221"/>
      <c r="H48" s="146"/>
      <c r="I48" s="222"/>
      <c r="J48" s="147"/>
    </row>
    <row r="49" spans="1:10">
      <c r="A49" s="167" t="s">
        <v>149</v>
      </c>
      <c r="B49" s="250" t="e">
        <f>C49/C44</f>
        <v>#DIV/0!</v>
      </c>
      <c r="C49" s="278">
        <v>0</v>
      </c>
      <c r="E49" s="224"/>
      <c r="G49" s="165"/>
      <c r="I49" s="166"/>
      <c r="J49" s="147"/>
    </row>
    <row r="50" spans="1:10">
      <c r="A50" s="167"/>
      <c r="C50" s="139"/>
      <c r="D50" s="215">
        <f>SUM(C44:C49)</f>
        <v>0</v>
      </c>
      <c r="E50" s="164"/>
      <c r="G50" s="279" t="s">
        <v>35</v>
      </c>
      <c r="H50" s="280"/>
      <c r="I50" s="281">
        <f>I36+I41+I45</f>
        <v>0</v>
      </c>
      <c r="J50" s="147"/>
    </row>
    <row r="51" spans="1:10">
      <c r="A51" s="167"/>
      <c r="C51" s="178"/>
      <c r="D51" s="171"/>
      <c r="E51" s="164"/>
      <c r="G51" s="225"/>
      <c r="H51" s="226"/>
      <c r="I51" s="227"/>
      <c r="J51" s="147"/>
    </row>
    <row r="52" spans="1:10">
      <c r="A52" s="154" t="s">
        <v>36</v>
      </c>
      <c r="B52" s="146"/>
      <c r="C52" s="171"/>
      <c r="D52" s="228"/>
      <c r="E52" s="164"/>
      <c r="J52" s="147"/>
    </row>
    <row r="53" spans="1:10">
      <c r="A53" s="167" t="s">
        <v>95</v>
      </c>
      <c r="C53" s="217">
        <v>0</v>
      </c>
      <c r="D53" s="171"/>
      <c r="E53" s="164"/>
      <c r="J53" s="147"/>
    </row>
    <row r="54" spans="1:10">
      <c r="A54" s="167" t="s">
        <v>37</v>
      </c>
      <c r="C54" s="217">
        <v>0</v>
      </c>
      <c r="D54" s="229">
        <f>SUM(C53:C54)</f>
        <v>0</v>
      </c>
      <c r="E54" s="177"/>
      <c r="H54" s="200"/>
      <c r="I54" s="230"/>
      <c r="J54" s="147"/>
    </row>
    <row r="55" spans="1:10" s="146" customFormat="1">
      <c r="A55" s="154" t="s">
        <v>38</v>
      </c>
      <c r="C55" s="179"/>
      <c r="E55" s="171">
        <f>SUM(D27:D54)</f>
        <v>0</v>
      </c>
      <c r="G55" s="139"/>
      <c r="I55" s="230"/>
      <c r="J55" s="176"/>
    </row>
    <row r="56" spans="1:10">
      <c r="A56" s="167"/>
      <c r="C56" s="145"/>
      <c r="D56" s="145"/>
      <c r="I56" s="230"/>
      <c r="J56" s="147"/>
    </row>
    <row r="57" spans="1:10" s="146" customFormat="1">
      <c r="A57" s="154" t="s">
        <v>39</v>
      </c>
      <c r="C57" s="179"/>
      <c r="E57" s="164">
        <f>E24-E55</f>
        <v>0</v>
      </c>
      <c r="G57" s="139"/>
      <c r="I57" s="200"/>
      <c r="J57" s="176"/>
    </row>
    <row r="58" spans="1:10" s="146" customFormat="1">
      <c r="A58" s="154"/>
      <c r="C58" s="179"/>
      <c r="E58" s="164"/>
      <c r="J58" s="176"/>
    </row>
    <row r="59" spans="1:10" s="146" customFormat="1">
      <c r="A59" s="154" t="s">
        <v>40</v>
      </c>
      <c r="C59" s="231" t="e">
        <f>SUM(E57/E55)</f>
        <v>#DIV/0!</v>
      </c>
      <c r="J59" s="176"/>
    </row>
    <row r="60" spans="1:10" s="146" customFormat="1">
      <c r="A60" s="154" t="s">
        <v>41</v>
      </c>
      <c r="C60" s="231" t="e">
        <f>E57/E7</f>
        <v>#DIV/0!</v>
      </c>
      <c r="G60" s="139"/>
      <c r="H60" s="173"/>
      <c r="J60" s="176"/>
    </row>
    <row r="61" spans="1:10">
      <c r="A61" s="167"/>
      <c r="C61" s="145"/>
      <c r="D61" s="139"/>
      <c r="H61" s="173"/>
      <c r="I61" s="232"/>
      <c r="J61" s="147"/>
    </row>
    <row r="62" spans="1:10" s="146" customFormat="1">
      <c r="A62" s="154" t="s">
        <v>44</v>
      </c>
      <c r="C62" s="282">
        <f>D9*B88</f>
        <v>0</v>
      </c>
      <c r="G62" s="139"/>
      <c r="H62" s="173"/>
      <c r="J62" s="176"/>
    </row>
    <row r="63" spans="1:10" s="146" customFormat="1">
      <c r="A63" s="154" t="s">
        <v>46</v>
      </c>
      <c r="C63" s="233">
        <f>E55-C62</f>
        <v>0</v>
      </c>
      <c r="H63" s="234"/>
      <c r="J63" s="176"/>
    </row>
    <row r="64" spans="1:10" s="146" customFormat="1">
      <c r="A64" s="154" t="s">
        <v>47</v>
      </c>
      <c r="C64" s="235" t="e">
        <f>SUM(I50/(D39+B30+D50+D54))</f>
        <v>#DIV/0!</v>
      </c>
      <c r="I64" s="236"/>
      <c r="J64" s="176"/>
    </row>
    <row r="65" spans="1:10" s="146" customFormat="1">
      <c r="A65" s="154" t="s">
        <v>48</v>
      </c>
      <c r="C65" s="235" t="e">
        <f>C62/E7</f>
        <v>#DIV/0!</v>
      </c>
      <c r="H65" s="237"/>
      <c r="J65" s="176"/>
    </row>
    <row r="66" spans="1:10" s="146" customFormat="1">
      <c r="A66" s="154" t="s">
        <v>49</v>
      </c>
      <c r="C66" s="235" t="e">
        <f>SUM(I50/(D39-B30+D50+D54))</f>
        <v>#DIV/0!</v>
      </c>
      <c r="G66" s="139"/>
      <c r="H66" s="238"/>
      <c r="I66" s="239"/>
      <c r="J66" s="176"/>
    </row>
    <row r="67" spans="1:10" s="146" customFormat="1">
      <c r="A67" s="154"/>
      <c r="C67" s="235"/>
      <c r="H67" s="237"/>
      <c r="I67" s="239"/>
      <c r="J67" s="176"/>
    </row>
    <row r="68" spans="1:10">
      <c r="A68" s="240" t="s">
        <v>50</v>
      </c>
      <c r="C68" s="145"/>
      <c r="D68" s="145"/>
      <c r="F68" s="145"/>
      <c r="G68" s="146"/>
      <c r="I68" s="239"/>
      <c r="J68" s="147"/>
    </row>
    <row r="69" spans="1:10">
      <c r="A69" s="241" t="s">
        <v>51</v>
      </c>
      <c r="B69" s="242"/>
      <c r="C69" s="243">
        <v>0</v>
      </c>
      <c r="D69" s="139"/>
      <c r="F69" s="145"/>
      <c r="H69" s="244"/>
      <c r="J69" s="147"/>
    </row>
    <row r="70" spans="1:10">
      <c r="A70" s="225" t="s">
        <v>52</v>
      </c>
      <c r="B70" s="226"/>
      <c r="C70" s="245" t="e">
        <f>C69/C62</f>
        <v>#DIV/0!</v>
      </c>
      <c r="D70" s="139"/>
      <c r="F70" s="145"/>
      <c r="H70" s="244"/>
      <c r="J70" s="147"/>
    </row>
    <row r="71" spans="1:10">
      <c r="A71" s="167"/>
      <c r="C71" s="145"/>
      <c r="D71" s="145"/>
      <c r="F71" s="145"/>
      <c r="H71" s="246"/>
      <c r="J71" s="147"/>
    </row>
    <row r="72" spans="1:10">
      <c r="A72" s="240" t="s">
        <v>54</v>
      </c>
      <c r="C72" s="145"/>
      <c r="D72" s="145"/>
      <c r="F72" s="145"/>
      <c r="H72" s="244"/>
      <c r="J72" s="147"/>
    </row>
    <row r="73" spans="1:10">
      <c r="A73" s="241" t="s">
        <v>56</v>
      </c>
      <c r="B73" s="242"/>
      <c r="C73" s="247">
        <v>0</v>
      </c>
      <c r="D73" s="243" t="s">
        <v>57</v>
      </c>
      <c r="F73" s="145"/>
      <c r="G73" s="248"/>
      <c r="H73" s="248"/>
      <c r="J73" s="147"/>
    </row>
    <row r="74" spans="1:10">
      <c r="A74" s="165" t="s">
        <v>58</v>
      </c>
      <c r="C74" s="145">
        <f>B94</f>
        <v>12</v>
      </c>
      <c r="D74" s="249" t="s">
        <v>57</v>
      </c>
      <c r="G74" s="248"/>
      <c r="H74" s="250"/>
      <c r="J74" s="147"/>
    </row>
    <row r="75" spans="1:10">
      <c r="A75" s="165" t="s">
        <v>59</v>
      </c>
      <c r="C75" s="145">
        <f>B95</f>
        <v>6</v>
      </c>
      <c r="D75" s="249" t="s">
        <v>57</v>
      </c>
      <c r="G75" s="145"/>
      <c r="H75" s="250"/>
      <c r="J75" s="147"/>
    </row>
    <row r="76" spans="1:10">
      <c r="A76" s="225" t="s">
        <v>61</v>
      </c>
      <c r="B76" s="226"/>
      <c r="C76" s="251">
        <f>SUM(C73:C75)</f>
        <v>18</v>
      </c>
      <c r="D76" s="252" t="s">
        <v>57</v>
      </c>
      <c r="G76" s="145"/>
      <c r="H76" s="145"/>
      <c r="J76" s="147"/>
    </row>
    <row r="77" spans="1:10">
      <c r="A77" s="167"/>
      <c r="C77" s="145"/>
      <c r="D77" s="145"/>
      <c r="G77" s="145"/>
      <c r="H77" s="145"/>
      <c r="J77" s="147"/>
    </row>
    <row r="78" spans="1:10">
      <c r="A78" s="240" t="s">
        <v>62</v>
      </c>
      <c r="C78" s="145"/>
      <c r="D78" s="145"/>
      <c r="G78" s="145"/>
      <c r="H78" s="145"/>
      <c r="J78" s="147"/>
    </row>
    <row r="79" spans="1:10">
      <c r="A79" s="253"/>
      <c r="B79" s="254"/>
      <c r="C79" s="255" t="s">
        <v>63</v>
      </c>
      <c r="D79" s="256" t="s">
        <v>64</v>
      </c>
      <c r="E79" s="257" t="s">
        <v>37</v>
      </c>
      <c r="F79" s="242"/>
      <c r="G79" s="243"/>
      <c r="H79" s="258" t="s">
        <v>94</v>
      </c>
      <c r="I79" s="259">
        <f>E57+C11+C38+C53+C54</f>
        <v>0</v>
      </c>
      <c r="J79" s="147"/>
    </row>
    <row r="80" spans="1:10">
      <c r="A80" s="165" t="s">
        <v>65</v>
      </c>
      <c r="C80" s="260">
        <f>B93</f>
        <v>18</v>
      </c>
      <c r="D80" s="145">
        <f>I36</f>
        <v>0</v>
      </c>
      <c r="E80" s="261">
        <f>B89</f>
        <v>9.5000000000000001E-2</v>
      </c>
      <c r="F80" s="262">
        <v>1</v>
      </c>
      <c r="G80" s="263">
        <f>C80/12*D80*E80*F80</f>
        <v>0</v>
      </c>
      <c r="H80" s="172" t="s">
        <v>84</v>
      </c>
      <c r="I80" s="174">
        <f>C11+C38+C53+C54</f>
        <v>0</v>
      </c>
      <c r="J80" s="147"/>
    </row>
    <row r="81" spans="1:10">
      <c r="A81" s="165" t="s">
        <v>66</v>
      </c>
      <c r="C81" s="260">
        <f>B94</f>
        <v>12</v>
      </c>
      <c r="D81" s="145">
        <f>I41</f>
        <v>0</v>
      </c>
      <c r="E81" s="261">
        <f>B89</f>
        <v>9.5000000000000001E-2</v>
      </c>
      <c r="F81" s="262">
        <v>0.5</v>
      </c>
      <c r="G81" s="263">
        <f>C81/12*D81*E81*F81</f>
        <v>0</v>
      </c>
      <c r="H81" s="172" t="s">
        <v>85</v>
      </c>
      <c r="I81" s="174">
        <f>H66</f>
        <v>0</v>
      </c>
      <c r="J81" s="147"/>
    </row>
    <row r="82" spans="1:10">
      <c r="A82" s="165" t="s">
        <v>59</v>
      </c>
      <c r="C82" s="260">
        <f>B95</f>
        <v>6</v>
      </c>
      <c r="D82" s="145">
        <f>I50</f>
        <v>0</v>
      </c>
      <c r="E82" s="261">
        <f>B89</f>
        <v>9.5000000000000001E-2</v>
      </c>
      <c r="F82" s="262">
        <v>0.5</v>
      </c>
      <c r="G82" s="263">
        <f>C82/12*D82*E82*F82</f>
        <v>0</v>
      </c>
      <c r="H82" s="172"/>
      <c r="I82" s="174"/>
      <c r="J82" s="147"/>
    </row>
    <row r="83" spans="1:10" ht="17" thickBot="1">
      <c r="A83" s="165" t="s">
        <v>67</v>
      </c>
      <c r="C83" s="145"/>
      <c r="D83" s="145"/>
      <c r="G83" s="264">
        <f>SUM(G80:G82)</f>
        <v>0</v>
      </c>
      <c r="H83" s="265" t="s">
        <v>97</v>
      </c>
      <c r="I83" s="266">
        <f>I79-I80-I81-I82</f>
        <v>0</v>
      </c>
      <c r="J83" s="147"/>
    </row>
    <row r="84" spans="1:10" ht="17" thickTop="1">
      <c r="A84" s="225"/>
      <c r="B84" s="226"/>
      <c r="C84" s="251"/>
      <c r="D84" s="251"/>
      <c r="E84" s="226"/>
      <c r="F84" s="226"/>
      <c r="G84" s="267"/>
      <c r="H84" s="251"/>
      <c r="I84" s="268"/>
      <c r="J84" s="147"/>
    </row>
    <row r="85" spans="1:10" ht="17" thickBot="1">
      <c r="A85" s="269"/>
      <c r="B85" s="148"/>
      <c r="C85" s="270"/>
      <c r="D85" s="270"/>
      <c r="E85" s="148"/>
      <c r="F85" s="148"/>
      <c r="G85" s="270"/>
      <c r="H85" s="270"/>
      <c r="I85" s="148"/>
      <c r="J85" s="149"/>
    </row>
    <row r="86" spans="1:10">
      <c r="C86" s="145"/>
      <c r="D86" s="145"/>
    </row>
    <row r="87" spans="1:10">
      <c r="A87" s="271" t="s">
        <v>86</v>
      </c>
      <c r="B87" s="158"/>
    </row>
    <row r="88" spans="1:10">
      <c r="A88" s="241" t="s">
        <v>87</v>
      </c>
      <c r="B88" s="272">
        <v>0.65</v>
      </c>
    </row>
    <row r="89" spans="1:10">
      <c r="A89" s="165" t="s">
        <v>88</v>
      </c>
      <c r="B89" s="273">
        <v>9.5000000000000001E-2</v>
      </c>
    </row>
    <row r="90" spans="1:10">
      <c r="A90" s="165" t="s">
        <v>89</v>
      </c>
      <c r="B90" s="273">
        <v>0.02</v>
      </c>
    </row>
    <row r="91" spans="1:10">
      <c r="A91" s="165" t="s">
        <v>90</v>
      </c>
      <c r="B91" s="273">
        <v>0.01</v>
      </c>
    </row>
    <row r="92" spans="1:10">
      <c r="A92" s="165" t="s">
        <v>96</v>
      </c>
      <c r="B92" s="274">
        <v>0</v>
      </c>
    </row>
    <row r="93" spans="1:10">
      <c r="A93" s="165" t="s">
        <v>91</v>
      </c>
      <c r="B93" s="274">
        <v>18</v>
      </c>
    </row>
    <row r="94" spans="1:10">
      <c r="A94" s="165" t="s">
        <v>92</v>
      </c>
      <c r="B94" s="274">
        <v>12</v>
      </c>
    </row>
    <row r="95" spans="1:10">
      <c r="A95" s="165" t="s">
        <v>93</v>
      </c>
      <c r="B95" s="274">
        <v>6</v>
      </c>
    </row>
    <row r="96" spans="1:10">
      <c r="A96" s="225"/>
      <c r="B96" s="275"/>
    </row>
  </sheetData>
  <pageMargins left="0.32" right="0.17000000000000004" top="0.29000000000000004" bottom="0.42" header="0.18000000000000002" footer="0.25"/>
  <pageSetup paperSize="9" scale="57" orientation="portrait"/>
  <extLst>
    <ext xmlns:mx="http://schemas.microsoft.com/office/mac/excel/2008/main" uri="{64002731-A6B0-56B0-2670-7721B7C09600}">
      <mx:PLV Mode="0" OnePage="0" WScale="64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cdf005-d9c2-4069-9223-fa3d64a1b784">
      <Terms xmlns="http://schemas.microsoft.com/office/infopath/2007/PartnerControls"/>
    </lcf76f155ced4ddcb4097134ff3c332f>
    <TaxCatchAll xmlns="1c03f634-980c-44ec-bfc6-9be295a793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E23D59A50DA4280167B85CA23D521" ma:contentTypeVersion="16" ma:contentTypeDescription="Create a new document." ma:contentTypeScope="" ma:versionID="43441f1f515d8266ee033c19a8e4149b">
  <xsd:schema xmlns:xsd="http://www.w3.org/2001/XMLSchema" xmlns:xs="http://www.w3.org/2001/XMLSchema" xmlns:p="http://schemas.microsoft.com/office/2006/metadata/properties" xmlns:ns2="7dcdf005-d9c2-4069-9223-fa3d64a1b784" xmlns:ns3="1c03f634-980c-44ec-bfc6-9be295a7932b" targetNamespace="http://schemas.microsoft.com/office/2006/metadata/properties" ma:root="true" ma:fieldsID="95ad25328827a571d3822ffa64f20298" ns2:_="" ns3:_="">
    <xsd:import namespace="7dcdf005-d9c2-4069-9223-fa3d64a1b784"/>
    <xsd:import namespace="1c03f634-980c-44ec-bfc6-9be295a79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df005-d9c2-4069-9223-fa3d64a1b7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64c6944-8f06-4902-9abc-a8aa92a024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3f634-980c-44ec-bfc6-9be295a79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f7d5e27-7e27-4900-938c-8d579694d766}" ma:internalName="TaxCatchAll" ma:showField="CatchAllData" ma:web="1c03f634-980c-44ec-bfc6-9be295a79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50C6C6-9778-403D-815A-FB91DC076778}">
  <ds:schemaRefs>
    <ds:schemaRef ds:uri="http://schemas.openxmlformats.org/package/2006/metadata/core-properties"/>
    <ds:schemaRef ds:uri="1c03f634-980c-44ec-bfc6-9be295a7932b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7dcdf005-d9c2-4069-9223-fa3d64a1b78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2E2373B-1AE3-408E-8012-14DC172A34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13494D-51DA-43EB-BEB7-7D882F78B5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cdf005-d9c2-4069-9223-fa3d64a1b784"/>
    <ds:schemaRef ds:uri="1c03f634-980c-44ec-bfc6-9be295a79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Mezz 70% LtGDV</vt:lpstr>
      <vt:lpstr>(A) Deal Summary</vt:lpstr>
      <vt:lpstr>(A) Appraisal</vt:lpstr>
      <vt:lpstr>'(A) Appraisal'!Print_Area</vt:lpstr>
      <vt:lpstr>'Mezz 70% LtGDV'!Print_Area</vt:lpstr>
    </vt:vector>
  </TitlesOfParts>
  <Company>Ian Stockdale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Stockdale</dc:creator>
  <cp:lastModifiedBy>Martyn Pollock</cp:lastModifiedBy>
  <dcterms:created xsi:type="dcterms:W3CDTF">2016-12-02T07:06:29Z</dcterms:created>
  <dcterms:modified xsi:type="dcterms:W3CDTF">2023-02-14T10:24:42Z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0x010100DEEE23D59A50DA4280167B85CA23D521</vt:lpwstr>
  </property>
  <property fmtid="{D5CDD505-2E9C-101B-9397-08002B2CF9AE}" pid="3" name="Order">
    <vt:r8>21600</vt:r8>
  </property>
</Properties>
</file>